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cations\fulltext\Hydraulics\HRM\"/>
    </mc:Choice>
  </mc:AlternateContent>
  <bookViews>
    <workbookView xWindow="480" yWindow="156" windowWidth="18192" windowHeight="11508" tabRatio="559"/>
  </bookViews>
  <sheets>
    <sheet name="Qwq Template" sheetId="15" r:id="rId1"/>
    <sheet name="High Q Template" sheetId="17" r:id="rId2"/>
    <sheet name="Moody Diagram and Equations" sheetId="7" r:id="rId3"/>
    <sheet name="Qwq Example" sheetId="18" r:id="rId4"/>
    <sheet name="High Q Example" sheetId="19" r:id="rId5"/>
  </sheets>
  <definedNames>
    <definedName name="_xlnm.Print_Area" localSheetId="4">'High Q Example'!$A$1:$Q$75</definedName>
    <definedName name="_xlnm.Print_Area" localSheetId="1">'High Q Template'!$A$1:$Q$76</definedName>
    <definedName name="_xlnm.Print_Area" localSheetId="3">'Qwq Example'!$A$1:$O$73</definedName>
  </definedNames>
  <calcPr calcId="162913"/>
</workbook>
</file>

<file path=xl/calcChain.xml><?xml version="1.0" encoding="utf-8"?>
<calcChain xmlns="http://schemas.openxmlformats.org/spreadsheetml/2006/main">
  <c r="B56" i="19" l="1"/>
  <c r="C56" i="19" s="1"/>
  <c r="B56" i="18"/>
  <c r="C56" i="18" s="1"/>
  <c r="B56" i="17"/>
  <c r="C56" i="17" s="1"/>
  <c r="B56" i="15"/>
  <c r="I56" i="19"/>
  <c r="I55" i="19"/>
  <c r="C52" i="19"/>
  <c r="G28" i="19"/>
  <c r="G33" i="19" s="1"/>
  <c r="B28" i="19"/>
  <c r="C28" i="19" s="1"/>
  <c r="D21" i="19"/>
  <c r="H16" i="19"/>
  <c r="E14" i="19"/>
  <c r="C14" i="19"/>
  <c r="D14" i="19" s="1"/>
  <c r="D4" i="19"/>
  <c r="I56" i="18"/>
  <c r="I55" i="18"/>
  <c r="C52" i="18"/>
  <c r="G28" i="18"/>
  <c r="G33" i="18" s="1"/>
  <c r="B28" i="18"/>
  <c r="C28" i="18" s="1"/>
  <c r="D21" i="18"/>
  <c r="H16" i="18"/>
  <c r="E14" i="18"/>
  <c r="C14" i="18"/>
  <c r="D14" i="18" s="1"/>
  <c r="D4" i="17"/>
  <c r="I56" i="17"/>
  <c r="I55" i="17"/>
  <c r="C52" i="17"/>
  <c r="G28" i="17"/>
  <c r="G33" i="17" s="1"/>
  <c r="B28" i="17"/>
  <c r="C28" i="17" s="1"/>
  <c r="D21" i="17"/>
  <c r="H16" i="17"/>
  <c r="E14" i="17"/>
  <c r="C14" i="17"/>
  <c r="D14" i="17" s="1"/>
  <c r="H16" i="15"/>
  <c r="F14" i="19" l="1"/>
  <c r="G14" i="19"/>
  <c r="I14" i="19" s="1"/>
  <c r="D28" i="19"/>
  <c r="E28" i="19" s="1"/>
  <c r="F28" i="19" s="1"/>
  <c r="E56" i="19"/>
  <c r="D56" i="19"/>
  <c r="G56" i="19"/>
  <c r="H56" i="19" s="1"/>
  <c r="F56" i="19"/>
  <c r="F14" i="18"/>
  <c r="G14" i="18" s="1"/>
  <c r="I14" i="18" s="1"/>
  <c r="D28" i="18"/>
  <c r="E28" i="18" s="1"/>
  <c r="F28" i="18" s="1"/>
  <c r="G56" i="18"/>
  <c r="H56" i="18" s="1"/>
  <c r="E56" i="18"/>
  <c r="F56" i="18" s="1"/>
  <c r="D56" i="18"/>
  <c r="F14" i="17"/>
  <c r="G14" i="17" s="1"/>
  <c r="I14" i="17" s="1"/>
  <c r="D28" i="17"/>
  <c r="E28" i="17" s="1"/>
  <c r="F28" i="17" s="1"/>
  <c r="E56" i="17"/>
  <c r="F56" i="17" s="1"/>
  <c r="D56" i="17"/>
  <c r="G56" i="17"/>
  <c r="H56" i="17" s="1"/>
  <c r="I56" i="15"/>
  <c r="I55" i="15"/>
  <c r="C52" i="15"/>
  <c r="G28" i="15"/>
  <c r="B28" i="15"/>
  <c r="C28" i="15" s="1"/>
  <c r="D21" i="15"/>
  <c r="E14" i="15"/>
  <c r="C14" i="15"/>
  <c r="D14" i="15" s="1"/>
  <c r="G34" i="19" l="1"/>
  <c r="D38" i="19"/>
  <c r="D42" i="19" s="1"/>
  <c r="D38" i="18"/>
  <c r="D42" i="18" s="1"/>
  <c r="G34" i="18"/>
  <c r="G34" i="17"/>
  <c r="D38" i="17"/>
  <c r="D42" i="17" s="1"/>
  <c r="C56" i="15"/>
  <c r="E56" i="15" s="1"/>
  <c r="F56" i="15" s="1"/>
  <c r="G33" i="15"/>
  <c r="D28" i="15"/>
  <c r="E28" i="15" s="1"/>
  <c r="F28" i="15" s="1"/>
  <c r="F14" i="15"/>
  <c r="G14" i="15" s="1"/>
  <c r="I14" i="15" s="1"/>
  <c r="D56" i="15" l="1"/>
  <c r="F42" i="19"/>
  <c r="B55" i="19"/>
  <c r="B55" i="18"/>
  <c r="F42" i="18"/>
  <c r="F42" i="17"/>
  <c r="B55" i="17"/>
  <c r="G56" i="15"/>
  <c r="H56" i="15" s="1"/>
  <c r="D38" i="15"/>
  <c r="D42" i="15" s="1"/>
  <c r="G34" i="15"/>
  <c r="C55" i="19" l="1"/>
  <c r="C55" i="18"/>
  <c r="C55" i="17"/>
  <c r="B55" i="15"/>
  <c r="F42" i="15"/>
  <c r="E55" i="19" l="1"/>
  <c r="F55" i="19" s="1"/>
  <c r="D55" i="19"/>
  <c r="G55" i="19"/>
  <c r="H55" i="19" s="1"/>
  <c r="B61" i="19" s="1"/>
  <c r="G55" i="18"/>
  <c r="H55" i="18" s="1"/>
  <c r="B61" i="18" s="1"/>
  <c r="E55" i="18"/>
  <c r="F55" i="18" s="1"/>
  <c r="D55" i="18"/>
  <c r="E55" i="17"/>
  <c r="F55" i="17" s="1"/>
  <c r="D55" i="17"/>
  <c r="G55" i="17"/>
  <c r="H55" i="17" s="1"/>
  <c r="B61" i="17" s="1"/>
  <c r="C55" i="15"/>
  <c r="E55" i="15" l="1"/>
  <c r="F55" i="15" s="1"/>
  <c r="D55" i="15"/>
  <c r="G55" i="15"/>
  <c r="H55" i="15" s="1"/>
  <c r="B61" i="15" s="1"/>
</calcChain>
</file>

<file path=xl/sharedStrings.xml><?xml version="1.0" encoding="utf-8"?>
<sst xmlns="http://schemas.openxmlformats.org/spreadsheetml/2006/main" count="393" uniqueCount="97">
  <si>
    <t>is B&gt; 0.8L</t>
  </si>
  <si>
    <t>H&lt;Ht</t>
  </si>
  <si>
    <t xml:space="preserve">High Flow Check </t>
  </si>
  <si>
    <t>cfs</t>
  </si>
  <si>
    <t>Split flow per leg, Qsplit =</t>
  </si>
  <si>
    <t>Spreader Pipe Length per leg L =</t>
  </si>
  <si>
    <t xml:space="preserve">ft </t>
  </si>
  <si>
    <t>n =</t>
  </si>
  <si>
    <t>for pvc</t>
  </si>
  <si>
    <t>pipe diameter =</t>
  </si>
  <si>
    <t>ft</t>
  </si>
  <si>
    <t>B(degrees)</t>
  </si>
  <si>
    <t>sinB</t>
  </si>
  <si>
    <t>Qcalc (cfs)</t>
  </si>
  <si>
    <t>V (fps)</t>
  </si>
  <si>
    <t>Use Excel "Goal Seek"</t>
  </si>
  <si>
    <t>Hydraulic drop across the length of pipe = (s) x (L)</t>
  </si>
  <si>
    <t>Hydraulic drop =</t>
  </si>
  <si>
    <t>Step 1</t>
  </si>
  <si>
    <t>Step 2</t>
  </si>
  <si>
    <t>Step 3</t>
  </si>
  <si>
    <t>Step 4</t>
  </si>
  <si>
    <t>Calculate hydraulic drop in each leg of the flow spreader pipe.</t>
  </si>
  <si>
    <t>Step 5</t>
  </si>
  <si>
    <t>Calculate the head loss due to pipe friction making the conservative assumption that the pipe is flowing full</t>
  </si>
  <si>
    <t>RADIUS (ft)</t>
  </si>
  <si>
    <t>A (ft2)</t>
  </si>
  <si>
    <t>R (ft)</t>
  </si>
  <si>
    <t>Q (cfs)</t>
  </si>
  <si>
    <t>d=diameter (ft)</t>
  </si>
  <si>
    <t>Double Click on the graph to show the Moody Diagram.</t>
  </si>
  <si>
    <t>Є=</t>
  </si>
  <si>
    <t>material specific constant</t>
  </si>
  <si>
    <t>ν=</t>
  </si>
  <si>
    <t>water at 40 deg, constant</t>
  </si>
  <si>
    <t>Friction loss = hf</t>
  </si>
  <si>
    <r>
      <t>=f*L*(V^2)</t>
    </r>
    <r>
      <rPr>
        <sz val="10"/>
        <rFont val="Arial"/>
        <family val="2"/>
      </rPr>
      <t>/(2*d*g)</t>
    </r>
  </si>
  <si>
    <t>Step 6</t>
  </si>
  <si>
    <t xml:space="preserve">Total headloss across the pipe leg  = </t>
  </si>
  <si>
    <t>Step 7</t>
  </si>
  <si>
    <t>Slot height (inches) =</t>
  </si>
  <si>
    <t>B (ft)</t>
  </si>
  <si>
    <t>From MGSFlood User's Manual - Weir Equations for Steps</t>
  </si>
  <si>
    <t>in the Data/What IF menu</t>
  </si>
  <si>
    <t>Is the total flow passed by the slot weirs &gt; total flow coming into the leg of the flow spreader?</t>
  </si>
  <si>
    <t>f =</t>
  </si>
  <si>
    <t>Є/d =</t>
  </si>
  <si>
    <r>
      <t>h</t>
    </r>
    <r>
      <rPr>
        <vertAlign val="subscript"/>
        <sz val="10"/>
        <rFont val="Arial"/>
        <family val="2"/>
      </rPr>
      <t xml:space="preserve">f </t>
    </r>
    <r>
      <rPr>
        <sz val="10"/>
        <rFont val="Arial"/>
        <family val="2"/>
      </rPr>
      <t>=</t>
    </r>
  </si>
  <si>
    <t>HEAD  H (ft)</t>
  </si>
  <si>
    <t>Q (cfs) based on head H</t>
  </si>
  <si>
    <t>Re = dV/v =</t>
  </si>
  <si>
    <t xml:space="preserve"> = relative roughness</t>
  </si>
  <si>
    <t xml:space="preserve"> = Reynolds Number</t>
  </si>
  <si>
    <t>Number of slot weirs =</t>
  </si>
  <si>
    <t>Determine the number of slots needed</t>
  </si>
  <si>
    <t>For constructibility, makes slot lengths &gt;= 2 feet.</t>
  </si>
  <si>
    <t>Water Quality Flow Qwq =</t>
  </si>
  <si>
    <t>High Flow Q =</t>
  </si>
  <si>
    <t>Identify if this is water quality flow or high flow check using drop down box.</t>
  </si>
  <si>
    <t xml:space="preserve">Calculate the flow rate to the flow spreader pipe.  Specify if this is to check the water quality Qwq or high flow rate Q using the drop down box. </t>
  </si>
  <si>
    <t>Is Qtotal for all slots &gt; Qsplit?</t>
  </si>
  <si>
    <t>In this example, flows are split into two 200-foot long slotted pipes; inflow pipe to each slotted pipe is at the mid point of each pipe which gives a result of 4 legs.</t>
  </si>
  <si>
    <t>In this example, there are 2 slotted pies, each is 200 feet long, with the inflow at the center of each 200 foot long pipe; each leg is 100 feet long.</t>
  </si>
  <si>
    <t>Q (cfs)       total for all slots</t>
  </si>
  <si>
    <t>Slot length L  (ft)=</t>
  </si>
  <si>
    <t>Ht (ft)</t>
  </si>
  <si>
    <t>MFD Type 4:  WQ flow rate = 0.092 cfs, High Flow rate for 100-year = 0.884 cfs; determine mounding in pipe and # of slot weirs needed</t>
  </si>
  <si>
    <t>Perimeter (ft)</t>
  </si>
  <si>
    <t>For Qwq flow of 0.023 cfs, using the 100 foot long, 12 inch diameter slotted flow dispersion pipe, the expected height of water</t>
  </si>
  <si>
    <t>(mounding) over the weir is 0.0004 ft. (0.005 inches) at inlet side. There are 10 weirs for the 100 foot long</t>
  </si>
  <si>
    <t xml:space="preserve">height of water over the weir is 0.0243 ft (0.292 inches) at the inlet side.  This is less than the 0.167 ft (2 inch) height of the slot weirs </t>
  </si>
  <si>
    <t>the selected number of slots.</t>
  </si>
  <si>
    <t>Qwq Check</t>
  </si>
  <si>
    <t>so the number of slot weirs is OK.  Also, at the High Flow Q head of 0.0243 ft, there is enough capacity to discharge the High Flow Q through</t>
  </si>
  <si>
    <t>Identify if this is water quality flow or high flow check using drop down box.  In this example, High Flow Q = Q100.</t>
  </si>
  <si>
    <t>For High Flow Q = 0.221 cfs (0.884/4 legs), using the 100 foot long 12 inch diameter slotted flow dispersion pipe, the expected</t>
  </si>
  <si>
    <t>Slotted Pipe Flow Spreader Check  - 12 inch Flow Spreader Pipe for MFD Type 4</t>
  </si>
  <si>
    <t>Calculated water surface slope in the slotted pipe (s) =</t>
  </si>
  <si>
    <t>pipe. The mounding in the pipe is  less than the proposed maximum of 0.021 ft (0.25 inches) so the number</t>
  </si>
  <si>
    <t xml:space="preserve"> of slot weirs for the WQ flow rate is OK.  Also, at the maximum head of 0.021 ft, there is enough capacity to discharge the Qwq through</t>
  </si>
  <si>
    <t>If flows are split into different legs, divide the total flow by the number of legs.</t>
  </si>
  <si>
    <t>Identify the length of each leg.</t>
  </si>
  <si>
    <t>The "B (degrees)" represents the slot weirs starting at the elevation of 1/2 the pipe diameter.</t>
  </si>
  <si>
    <t>legs and half the flow would go to each leg.</t>
  </si>
  <si>
    <t>Calculate the flow per leg of the flow spreader.  For example, if there is a pipe "T" in the middle of the slotted dispersion pipe, there would be two</t>
  </si>
  <si>
    <t>to determine the slope.</t>
  </si>
  <si>
    <t xml:space="preserve">Calculate the water surface slope inside the dispersion pipe for a given leg.  Use Manning's equation to iterate Qwq or high flow Q to Qsplit </t>
  </si>
  <si>
    <t>for WQ flow rate</t>
  </si>
  <si>
    <t>Calculate the total head at the inlet of the pipe due to hydraulic drop + pipe friction (Step 4 + Step 5); total head &lt; 0.021 feet (0.25 inches)</t>
  </si>
  <si>
    <t>are not under pressure flow (submerged).</t>
  </si>
  <si>
    <t xml:space="preserve">Calculate the number of slots needed to pass the Qwq at the maximum total head of 0.021 feet and to pass Q high flow so the slots </t>
  </si>
  <si>
    <t>to determine the "f"</t>
  </si>
  <si>
    <t xml:space="preserve">go to Moody's Diagram (see "Moody Diagram Tab) </t>
  </si>
  <si>
    <t xml:space="preserve"> - Knowing relative roughness and Reynolds Number</t>
  </si>
  <si>
    <t xml:space="preserve">  - Slots are 1 feet a part from each other</t>
  </si>
  <si>
    <t>INSTRUCTIONS</t>
  </si>
  <si>
    <t>yellow cells = user input, green cells = solver function, red cells = critical calculation, orange cell = critial design output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</si>
</sst>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#\ ?/8"/>
    <numFmt numFmtId="165" formatCode="0.0"/>
    <numFmt numFmtId="166" formatCode="0.0000"/>
    <numFmt numFmtId="167" formatCode="0.000"/>
    <numFmt numFmtId="168" formatCode="0.00000"/>
    <numFmt numFmtId="169" formatCode="0.000000"/>
    <numFmt numFmtId="170" formatCode="0.0000000"/>
    <numFmt numFmtId="171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vertAlign val="subscript"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name val="Arial"/>
      <family val="2"/>
    </font>
    <font>
      <b/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3" fontId="4" fillId="0" borderId="0" applyFont="0" applyFill="0" applyBorder="0" applyAlignment="0" applyProtection="0"/>
    <xf numFmtId="0" fontId="5" fillId="0" borderId="0"/>
  </cellStyleXfs>
  <cellXfs count="99">
    <xf numFmtId="0" fontId="0" fillId="0" borderId="0" xfId="0"/>
    <xf numFmtId="0" fontId="1" fillId="0" borderId="0" xfId="1" applyProtection="1"/>
    <xf numFmtId="0" fontId="0" fillId="2" borderId="0" xfId="0" applyFill="1"/>
    <xf numFmtId="0" fontId="0" fillId="0" borderId="0" xfId="0" applyAlignment="1">
      <alignment horizontal="right"/>
    </xf>
    <xf numFmtId="0" fontId="0" fillId="0" borderId="0" xfId="0" applyFill="1"/>
    <xf numFmtId="167" fontId="0" fillId="0" borderId="0" xfId="0" applyNumberFormat="1"/>
    <xf numFmtId="2" fontId="0" fillId="0" borderId="0" xfId="0" applyNumberFormat="1"/>
    <xf numFmtId="166" fontId="0" fillId="0" borderId="0" xfId="0" applyNumberFormat="1" applyFill="1"/>
    <xf numFmtId="168" fontId="0" fillId="0" borderId="0" xfId="0" applyNumberFormat="1" applyFill="1"/>
    <xf numFmtId="167" fontId="0" fillId="0" borderId="0" xfId="0" applyNumberFormat="1" applyFill="1"/>
    <xf numFmtId="2" fontId="0" fillId="0" borderId="0" xfId="0" applyNumberFormat="1" applyFill="1"/>
    <xf numFmtId="0" fontId="0" fillId="0" borderId="0" xfId="0" applyNumberFormat="1"/>
    <xf numFmtId="0" fontId="0" fillId="0" borderId="0" xfId="0" applyNumberFormat="1" applyFill="1"/>
    <xf numFmtId="0" fontId="0" fillId="0" borderId="0" xfId="0" applyFill="1" applyAlignment="1">
      <alignment horizontal="center"/>
    </xf>
    <xf numFmtId="164" fontId="0" fillId="0" borderId="0" xfId="0" applyNumberFormat="1" applyFill="1"/>
    <xf numFmtId="0" fontId="3" fillId="0" borderId="0" xfId="1" applyFont="1" applyProtection="1"/>
    <xf numFmtId="0" fontId="1" fillId="2" borderId="0" xfId="1" applyFill="1" applyProtection="1"/>
    <xf numFmtId="0" fontId="1" fillId="0" borderId="0" xfId="1" applyAlignment="1" applyProtection="1">
      <alignment horizontal="right"/>
    </xf>
    <xf numFmtId="0" fontId="1" fillId="0" borderId="0" xfId="1" applyAlignment="1" applyProtection="1">
      <alignment horizontal="left"/>
    </xf>
    <xf numFmtId="0" fontId="3" fillId="0" borderId="0" xfId="1" applyFont="1" applyAlignment="1" applyProtection="1"/>
    <xf numFmtId="0" fontId="3" fillId="0" borderId="0" xfId="1" applyFont="1" applyAlignment="1" applyProtection="1">
      <alignment horizontal="left"/>
    </xf>
    <xf numFmtId="0" fontId="2" fillId="0" borderId="1" xfId="1" applyFont="1" applyBorder="1" applyProtection="1"/>
    <xf numFmtId="0" fontId="2" fillId="0" borderId="1" xfId="1" applyFont="1" applyBorder="1" applyAlignment="1" applyProtection="1">
      <alignment horizontal="center"/>
    </xf>
    <xf numFmtId="0" fontId="1" fillId="0" borderId="0" xfId="1" applyAlignment="1" applyProtection="1">
      <alignment horizontal="center"/>
    </xf>
    <xf numFmtId="166" fontId="1" fillId="0" borderId="0" xfId="1" applyNumberFormat="1" applyAlignment="1" applyProtection="1">
      <alignment horizontal="center"/>
    </xf>
    <xf numFmtId="2" fontId="1" fillId="0" borderId="0" xfId="1" applyNumberFormat="1" applyProtection="1"/>
    <xf numFmtId="169" fontId="1" fillId="0" borderId="0" xfId="1" applyNumberFormat="1" applyAlignment="1" applyProtection="1">
      <alignment horizontal="center"/>
    </xf>
    <xf numFmtId="0" fontId="1" fillId="0" borderId="0" xfId="1" applyFill="1" applyProtection="1"/>
    <xf numFmtId="0" fontId="1" fillId="0" borderId="0" xfId="1" quotePrefix="1" applyFill="1" applyProtection="1"/>
    <xf numFmtId="0" fontId="1" fillId="0" borderId="0" xfId="1" applyFill="1" applyAlignment="1" applyProtection="1">
      <alignment horizontal="right"/>
    </xf>
    <xf numFmtId="0" fontId="1" fillId="0" borderId="0" xfId="1" applyFill="1" applyAlignment="1" applyProtection="1">
      <alignment horizontal="left"/>
    </xf>
    <xf numFmtId="0" fontId="3" fillId="0" borderId="0" xfId="1" applyFont="1" applyFill="1" applyProtection="1"/>
    <xf numFmtId="168" fontId="0" fillId="0" borderId="0" xfId="0" applyNumberFormat="1"/>
    <xf numFmtId="0" fontId="1" fillId="0" borderId="0" xfId="1" applyFont="1" applyProtection="1"/>
    <xf numFmtId="0" fontId="5" fillId="0" borderId="0" xfId="3" applyAlignment="1" applyProtection="1">
      <alignment horizontal="center"/>
    </xf>
    <xf numFmtId="2" fontId="5" fillId="0" borderId="0" xfId="3" applyNumberFormat="1" applyAlignment="1" applyProtection="1">
      <alignment horizontal="center"/>
    </xf>
    <xf numFmtId="0" fontId="5" fillId="0" borderId="0" xfId="3" applyAlignment="1" applyProtection="1">
      <alignment horizontal="center"/>
      <protection locked="0"/>
    </xf>
    <xf numFmtId="2" fontId="5" fillId="0" borderId="0" xfId="3" applyNumberFormat="1" applyAlignment="1" applyProtection="1">
      <alignment horizontal="center"/>
      <protection locked="0"/>
    </xf>
    <xf numFmtId="0" fontId="1" fillId="0" borderId="0" xfId="1" applyAlignment="1" applyProtection="1">
      <alignment wrapText="1"/>
    </xf>
    <xf numFmtId="0" fontId="2" fillId="0" borderId="1" xfId="3" applyFont="1" applyBorder="1" applyAlignment="1" applyProtection="1">
      <alignment horizontal="center" wrapText="1"/>
    </xf>
    <xf numFmtId="0" fontId="1" fillId="0" borderId="0" xfId="3" applyFont="1" applyProtection="1"/>
    <xf numFmtId="0" fontId="5" fillId="0" borderId="0" xfId="3" applyProtection="1">
      <protection locked="0"/>
    </xf>
    <xf numFmtId="0" fontId="5" fillId="0" borderId="0" xfId="3"/>
    <xf numFmtId="0" fontId="5" fillId="0" borderId="0" xfId="3" applyProtection="1"/>
    <xf numFmtId="0" fontId="5" fillId="0" borderId="0" xfId="3" applyAlignment="1" applyProtection="1">
      <alignment horizontal="right"/>
    </xf>
    <xf numFmtId="0" fontId="5" fillId="0" borderId="0" xfId="3" applyAlignment="1" applyProtection="1">
      <alignment horizontal="left"/>
    </xf>
    <xf numFmtId="0" fontId="5" fillId="0" borderId="0" xfId="3" quotePrefix="1" applyProtection="1"/>
    <xf numFmtId="0" fontId="5" fillId="0" borderId="0" xfId="3" quotePrefix="1" applyAlignment="1" applyProtection="1">
      <alignment horizontal="right" vertical="center"/>
    </xf>
    <xf numFmtId="166" fontId="1" fillId="2" borderId="0" xfId="1" applyNumberFormat="1" applyFill="1" applyProtection="1"/>
    <xf numFmtId="171" fontId="5" fillId="0" borderId="0" xfId="2" applyNumberFormat="1" applyFont="1" applyAlignment="1" applyProtection="1">
      <alignment horizontal="center"/>
    </xf>
    <xf numFmtId="164" fontId="0" fillId="0" borderId="0" xfId="0" applyNumberFormat="1" applyAlignment="1">
      <alignment horizontal="right"/>
    </xf>
    <xf numFmtId="0" fontId="1" fillId="0" borderId="0" xfId="1" applyFont="1" applyAlignment="1" applyProtection="1">
      <alignment horizontal="left"/>
    </xf>
    <xf numFmtId="0" fontId="1" fillId="2" borderId="0" xfId="1" applyFill="1" applyAlignment="1" applyProtection="1">
      <alignment horizontal="left"/>
    </xf>
    <xf numFmtId="2" fontId="1" fillId="2" borderId="0" xfId="1" applyNumberFormat="1" applyFill="1" applyAlignment="1" applyProtection="1">
      <alignment horizontal="center"/>
    </xf>
    <xf numFmtId="0" fontId="1" fillId="0" borderId="0" xfId="1" applyFill="1" applyAlignment="1" applyProtection="1">
      <alignment horizontal="center"/>
    </xf>
    <xf numFmtId="0" fontId="3" fillId="0" borderId="0" xfId="1" applyFont="1" applyFill="1" applyAlignment="1" applyProtection="1">
      <alignment horizontal="right"/>
    </xf>
    <xf numFmtId="0" fontId="2" fillId="0" borderId="0" xfId="3" applyFont="1" applyBorder="1" applyAlignment="1" applyProtection="1">
      <alignment horizontal="center" wrapText="1"/>
    </xf>
    <xf numFmtId="0" fontId="5" fillId="0" borderId="0" xfId="3" applyBorder="1" applyAlignment="1" applyProtection="1">
      <alignment horizontal="center"/>
      <protection locked="0"/>
    </xf>
    <xf numFmtId="0" fontId="5" fillId="0" borderId="0" xfId="3" applyAlignment="1">
      <alignment horizontal="right"/>
    </xf>
    <xf numFmtId="165" fontId="0" fillId="0" borderId="0" xfId="0" applyNumberFormat="1" applyFill="1"/>
    <xf numFmtId="11" fontId="0" fillId="0" borderId="0" xfId="0" applyNumberFormat="1"/>
    <xf numFmtId="167" fontId="1" fillId="2" borderId="0" xfId="1" applyNumberFormat="1" applyFill="1" applyProtection="1"/>
    <xf numFmtId="2" fontId="5" fillId="0" borderId="0" xfId="3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7" fillId="0" borderId="2" xfId="0" applyFon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7" fillId="0" borderId="0" xfId="0" applyFont="1" applyAlignment="1">
      <alignment wrapText="1"/>
    </xf>
    <xf numFmtId="166" fontId="7" fillId="0" borderId="0" xfId="0" applyNumberFormat="1" applyFont="1" applyFill="1" applyBorder="1" applyAlignment="1">
      <alignment wrapText="1"/>
    </xf>
    <xf numFmtId="168" fontId="7" fillId="0" borderId="0" xfId="0" applyNumberFormat="1" applyFont="1" applyFill="1" applyBorder="1" applyAlignment="1">
      <alignment wrapText="1"/>
    </xf>
    <xf numFmtId="0" fontId="0" fillId="0" borderId="0" xfId="0" applyNumberFormat="1" applyBorder="1"/>
    <xf numFmtId="168" fontId="0" fillId="0" borderId="0" xfId="0" applyNumberFormat="1" applyFill="1" applyBorder="1"/>
    <xf numFmtId="2" fontId="1" fillId="0" borderId="0" xfId="1" applyNumberFormat="1" applyFill="1" applyAlignment="1" applyProtection="1">
      <alignment horizontal="left"/>
    </xf>
    <xf numFmtId="1" fontId="5" fillId="0" borderId="0" xfId="3" applyNumberFormat="1" applyAlignment="1" applyProtection="1">
      <alignment horizontal="right"/>
    </xf>
    <xf numFmtId="0" fontId="3" fillId="0" borderId="0" xfId="1" applyFont="1" applyAlignment="1" applyProtection="1">
      <alignment horizontal="right"/>
    </xf>
    <xf numFmtId="168" fontId="0" fillId="0" borderId="0" xfId="0" applyNumberFormat="1" applyFill="1" applyAlignment="1">
      <alignment horizontal="right"/>
    </xf>
    <xf numFmtId="0" fontId="8" fillId="0" borderId="0" xfId="1" applyFont="1" applyProtection="1"/>
    <xf numFmtId="0" fontId="1" fillId="0" borderId="0" xfId="1" applyFont="1" applyFill="1" applyAlignment="1" applyProtection="1">
      <alignment horizontal="left"/>
    </xf>
    <xf numFmtId="170" fontId="1" fillId="3" borderId="0" xfId="1" applyNumberFormat="1" applyFill="1" applyProtection="1"/>
    <xf numFmtId="166" fontId="1" fillId="4" borderId="0" xfId="1" applyNumberFormat="1" applyFill="1" applyAlignment="1" applyProtection="1">
      <alignment horizontal="center"/>
    </xf>
    <xf numFmtId="0" fontId="1" fillId="3" borderId="0" xfId="1" applyFill="1" applyProtection="1"/>
    <xf numFmtId="0" fontId="5" fillId="3" borderId="0" xfId="3" applyFill="1" applyProtection="1"/>
    <xf numFmtId="168" fontId="0" fillId="3" borderId="0" xfId="0" applyNumberFormat="1" applyFill="1"/>
    <xf numFmtId="0" fontId="3" fillId="0" borderId="0" xfId="1" applyFont="1" applyAlignment="1" applyProtection="1">
      <alignment horizontal="right"/>
    </xf>
    <xf numFmtId="0" fontId="1" fillId="0" borderId="0" xfId="1" applyFont="1" applyFill="1" applyAlignment="1" applyProtection="1">
      <alignment horizontal="right"/>
    </xf>
    <xf numFmtId="0" fontId="9" fillId="0" borderId="0" xfId="1" applyFont="1" applyProtection="1"/>
    <xf numFmtId="168" fontId="0" fillId="5" borderId="0" xfId="0" applyNumberFormat="1" applyFill="1"/>
    <xf numFmtId="167" fontId="0" fillId="5" borderId="0" xfId="0" applyNumberFormat="1" applyFill="1"/>
    <xf numFmtId="0" fontId="0" fillId="5" borderId="0" xfId="0" applyFill="1"/>
    <xf numFmtId="2" fontId="0" fillId="5" borderId="0" xfId="0" applyNumberFormat="1" applyFill="1"/>
    <xf numFmtId="166" fontId="0" fillId="5" borderId="0" xfId="0" applyNumberFormat="1" applyFill="1"/>
    <xf numFmtId="0" fontId="1" fillId="5" borderId="0" xfId="1" applyFill="1" applyProtection="1"/>
    <xf numFmtId="0" fontId="1" fillId="5" borderId="0" xfId="1" applyFont="1" applyFill="1" applyAlignment="1" applyProtection="1">
      <alignment horizontal="left"/>
    </xf>
    <xf numFmtId="0" fontId="10" fillId="0" borderId="1" xfId="1" applyFont="1" applyBorder="1" applyProtection="1"/>
    <xf numFmtId="0" fontId="1" fillId="0" borderId="1" xfId="1" applyBorder="1" applyProtection="1"/>
    <xf numFmtId="0" fontId="3" fillId="0" borderId="1" xfId="1" applyFont="1" applyBorder="1" applyProtection="1"/>
    <xf numFmtId="0" fontId="1" fillId="0" borderId="0" xfId="1" applyFont="1" applyAlignment="1" applyProtection="1">
      <alignment horizontal="right"/>
    </xf>
    <xf numFmtId="0" fontId="0" fillId="0" borderId="0" xfId="0" applyAlignment="1"/>
    <xf numFmtId="0" fontId="3" fillId="0" borderId="0" xfId="1" applyFont="1" applyAlignment="1" applyProtection="1">
      <alignment horizontal="right"/>
    </xf>
    <xf numFmtId="0" fontId="0" fillId="0" borderId="0" xfId="0" applyAlignment="1">
      <alignment horizontal="right"/>
    </xf>
  </cellXfs>
  <cellStyles count="4">
    <cellStyle name="Comma" xfId="2" builtinId="3"/>
    <cellStyle name="Normal" xfId="0" builtinId="0"/>
    <cellStyle name="Normal 2" xfId="1"/>
    <cellStyle name="Normal 3" xfId="3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22412</xdr:colOff>
      <xdr:row>18</xdr:row>
      <xdr:rowOff>56028</xdr:rowOff>
    </xdr:from>
    <xdr:to>
      <xdr:col>12</xdr:col>
      <xdr:colOff>212911</xdr:colOff>
      <xdr:row>26</xdr:row>
      <xdr:rowOff>235324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" r="91575" b="85219"/>
        <a:stretch/>
      </xdr:blipFill>
      <xdr:spPr>
        <a:xfrm>
          <a:off x="7608794" y="2947146"/>
          <a:ext cx="1938617" cy="14343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201706</xdr:colOff>
      <xdr:row>18</xdr:row>
      <xdr:rowOff>20011</xdr:rowOff>
    </xdr:from>
    <xdr:to>
      <xdr:col>11</xdr:col>
      <xdr:colOff>152151</xdr:colOff>
      <xdr:row>26</xdr:row>
      <xdr:rowOff>258536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6" t="70" r="91640" b="85078"/>
        <a:stretch/>
      </xdr:blipFill>
      <xdr:spPr>
        <a:xfrm>
          <a:off x="5971135" y="3108832"/>
          <a:ext cx="2152329" cy="15448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0</xdr:row>
          <xdr:rowOff>99060</xdr:rowOff>
        </xdr:from>
        <xdr:to>
          <xdr:col>10</xdr:col>
          <xdr:colOff>190500</xdr:colOff>
          <xdr:row>23</xdr:row>
          <xdr:rowOff>45720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67236</xdr:colOff>
      <xdr:row>30</xdr:row>
      <xdr:rowOff>0</xdr:rowOff>
    </xdr:from>
    <xdr:to>
      <xdr:col>8</xdr:col>
      <xdr:colOff>118174</xdr:colOff>
      <xdr:row>59</xdr:row>
      <xdr:rowOff>91523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6" y="5715000"/>
          <a:ext cx="4927738" cy="5616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61187</xdr:rowOff>
    </xdr:from>
    <xdr:to>
      <xdr:col>9</xdr:col>
      <xdr:colOff>272863</xdr:colOff>
      <xdr:row>74</xdr:row>
      <xdr:rowOff>186019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91187"/>
          <a:ext cx="5759263" cy="2791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22412</xdr:colOff>
      <xdr:row>18</xdr:row>
      <xdr:rowOff>56028</xdr:rowOff>
    </xdr:from>
    <xdr:to>
      <xdr:col>12</xdr:col>
      <xdr:colOff>212911</xdr:colOff>
      <xdr:row>26</xdr:row>
      <xdr:rowOff>235324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" r="91575" b="85219"/>
        <a:stretch/>
      </xdr:blipFill>
      <xdr:spPr>
        <a:xfrm>
          <a:off x="6404162" y="3123078"/>
          <a:ext cx="1914524" cy="1474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201706</xdr:colOff>
      <xdr:row>18</xdr:row>
      <xdr:rowOff>20011</xdr:rowOff>
    </xdr:from>
    <xdr:to>
      <xdr:col>11</xdr:col>
      <xdr:colOff>152152</xdr:colOff>
      <xdr:row>26</xdr:row>
      <xdr:rowOff>258536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6" t="70" r="91640" b="85078"/>
        <a:stretch/>
      </xdr:blipFill>
      <xdr:spPr>
        <a:xfrm>
          <a:off x="5954806" y="3087061"/>
          <a:ext cx="2169771" cy="153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1"/>
  <sheetViews>
    <sheetView tabSelected="1" zoomScale="85" zoomScaleNormal="85" zoomScalePageLayoutView="85" workbookViewId="0">
      <selection activeCell="B3" sqref="B3:C3"/>
    </sheetView>
  </sheetViews>
  <sheetFormatPr defaultColWidth="9.109375" defaultRowHeight="13.2" x14ac:dyDescent="0.25"/>
  <cols>
    <col min="1" max="1" width="6.88671875" style="1" customWidth="1"/>
    <col min="2" max="2" width="23.109375" style="1" customWidth="1"/>
    <col min="3" max="3" width="8.109375" style="1" customWidth="1"/>
    <col min="4" max="4" width="11.109375" style="1" customWidth="1"/>
    <col min="5" max="5" width="13.109375" style="1" customWidth="1"/>
    <col min="6" max="6" width="7.109375" style="1" customWidth="1"/>
    <col min="7" max="7" width="12.5546875" style="1" customWidth="1"/>
    <col min="8" max="8" width="9.44140625" style="1" customWidth="1"/>
    <col min="9" max="9" width="10.33203125" style="1" customWidth="1"/>
    <col min="10" max="10" width="8.88671875" style="1" customWidth="1"/>
    <col min="11" max="11" width="2.5546875" style="1" customWidth="1"/>
    <col min="12" max="12" width="4.109375" style="1" customWidth="1"/>
    <col min="13" max="13" width="4.33203125" style="1" customWidth="1"/>
    <col min="14" max="16384" width="9.109375" style="1"/>
  </cols>
  <sheetData>
    <row r="1" spans="1:14" ht="21" x14ac:dyDescent="0.4">
      <c r="B1" s="84" t="s">
        <v>76</v>
      </c>
    </row>
    <row r="2" spans="1:14" x14ac:dyDescent="0.25">
      <c r="B2" s="1" t="s">
        <v>66</v>
      </c>
    </row>
    <row r="3" spans="1:14" ht="14.4" x14ac:dyDescent="0.3">
      <c r="A3" s="1" t="s">
        <v>18</v>
      </c>
      <c r="B3" s="95" t="s">
        <v>56</v>
      </c>
      <c r="C3" s="96"/>
      <c r="D3" s="16">
        <v>9.1999999999999998E-2</v>
      </c>
      <c r="E3" s="15" t="s">
        <v>3</v>
      </c>
      <c r="F3" s="75" t="s">
        <v>58</v>
      </c>
    </row>
    <row r="4" spans="1:14" ht="14.4" x14ac:dyDescent="0.3">
      <c r="A4" s="1" t="s">
        <v>19</v>
      </c>
      <c r="B4" s="97" t="s">
        <v>4</v>
      </c>
      <c r="C4" s="98"/>
      <c r="D4" s="48">
        <v>2.3E-2</v>
      </c>
      <c r="E4" s="15" t="s">
        <v>3</v>
      </c>
      <c r="F4" s="75" t="s">
        <v>80</v>
      </c>
    </row>
    <row r="5" spans="1:14" x14ac:dyDescent="0.25">
      <c r="F5" s="75"/>
    </row>
    <row r="6" spans="1:14" x14ac:dyDescent="0.25">
      <c r="B6" s="15"/>
      <c r="C6" s="73" t="s">
        <v>5</v>
      </c>
      <c r="D6" s="16">
        <v>100</v>
      </c>
      <c r="E6" s="15" t="s">
        <v>6</v>
      </c>
      <c r="F6" s="75" t="s">
        <v>81</v>
      </c>
      <c r="G6" s="17"/>
      <c r="H6" s="17"/>
      <c r="K6" s="15"/>
    </row>
    <row r="7" spans="1:14" x14ac:dyDescent="0.25">
      <c r="B7" s="15"/>
      <c r="C7" s="73"/>
      <c r="E7" s="15"/>
      <c r="G7" s="17"/>
      <c r="H7" s="17"/>
      <c r="K7" s="15"/>
    </row>
    <row r="8" spans="1:14" x14ac:dyDescent="0.25">
      <c r="B8" s="15"/>
      <c r="F8" s="15"/>
      <c r="I8" s="17"/>
      <c r="L8" s="15"/>
    </row>
    <row r="10" spans="1:14" x14ac:dyDescent="0.25">
      <c r="B10" s="17" t="s">
        <v>7</v>
      </c>
      <c r="C10" s="52">
        <v>1.2E-2</v>
      </c>
      <c r="D10" s="19" t="s">
        <v>8</v>
      </c>
      <c r="E10" s="19"/>
      <c r="F10" s="73" t="s">
        <v>9</v>
      </c>
      <c r="G10" s="53">
        <v>1</v>
      </c>
      <c r="H10" s="71" t="s">
        <v>10</v>
      </c>
      <c r="I10" s="20"/>
    </row>
    <row r="11" spans="1:14" x14ac:dyDescent="0.25">
      <c r="B11" s="17"/>
      <c r="C11" s="18"/>
      <c r="D11" s="19"/>
      <c r="E11" s="19"/>
      <c r="F11" s="73"/>
      <c r="G11" s="18"/>
      <c r="H11" s="18"/>
      <c r="I11" s="20"/>
    </row>
    <row r="12" spans="1:14" x14ac:dyDescent="0.25">
      <c r="B12" s="75" t="s">
        <v>82</v>
      </c>
      <c r="M12" s="15"/>
      <c r="N12" s="33"/>
    </row>
    <row r="13" spans="1:14" x14ac:dyDescent="0.25">
      <c r="B13" s="21" t="s">
        <v>11</v>
      </c>
      <c r="C13" s="22" t="s">
        <v>12</v>
      </c>
      <c r="D13" s="22" t="s">
        <v>26</v>
      </c>
      <c r="E13" s="22" t="s">
        <v>67</v>
      </c>
      <c r="F13" s="22" t="s">
        <v>27</v>
      </c>
      <c r="G13" s="22" t="s">
        <v>13</v>
      </c>
      <c r="H13" s="22"/>
      <c r="I13" s="22" t="s">
        <v>14</v>
      </c>
      <c r="M13" s="15"/>
      <c r="N13" s="33"/>
    </row>
    <row r="14" spans="1:14" x14ac:dyDescent="0.25">
      <c r="B14" s="23">
        <v>180</v>
      </c>
      <c r="C14" s="24">
        <f>SIN((RADIANS(B14)))</f>
        <v>1.22514845490862E-16</v>
      </c>
      <c r="D14" s="25">
        <f>0.5*(((G10/2)^2)*((PI()*(B14/180))-(C14)))</f>
        <v>0.39269908169872414</v>
      </c>
      <c r="E14" s="25">
        <f>PI()*G10/2</f>
        <v>1.5707963267948966</v>
      </c>
      <c r="F14" s="24">
        <f>(D14)/E14</f>
        <v>0.25</v>
      </c>
      <c r="G14" s="78">
        <f>(1.49/C10)*D14*(F14)^(2/3)*(G16^0.5)</f>
        <v>2.3248985186818432E-2</v>
      </c>
      <c r="H14" s="24"/>
      <c r="I14" s="26">
        <f>G14/D14</f>
        <v>5.9203054629638485E-2</v>
      </c>
      <c r="M14" s="15"/>
      <c r="N14" s="33"/>
    </row>
    <row r="15" spans="1:14" x14ac:dyDescent="0.25">
      <c r="M15" s="15"/>
      <c r="N15" s="15"/>
    </row>
    <row r="16" spans="1:14" x14ac:dyDescent="0.25">
      <c r="A16" s="1" t="s">
        <v>20</v>
      </c>
      <c r="B16" s="27"/>
      <c r="C16" s="55"/>
      <c r="D16" s="27"/>
      <c r="E16" s="27"/>
      <c r="F16" s="83" t="s">
        <v>77</v>
      </c>
      <c r="G16" s="77">
        <v>1.4435267643753105E-6</v>
      </c>
      <c r="H16" s="31" t="str">
        <f>IF(B3="High Flow Q =","ft/ft       &lt;-----iterate this value until High Flow Q = Qsplit","ft/ft       &lt;-----iterate this value until Water Quality Flow Qwq = Qsplit")</f>
        <v>ft/ft       &lt;-----iterate this value until Water Quality Flow Qwq = Qsplit</v>
      </c>
      <c r="M16" s="33"/>
      <c r="N16" s="33"/>
    </row>
    <row r="17" spans="1:14" x14ac:dyDescent="0.25">
      <c r="I17" s="1" t="s">
        <v>15</v>
      </c>
      <c r="M17" s="33"/>
      <c r="N17" s="33"/>
    </row>
    <row r="18" spans="1:14" x14ac:dyDescent="0.25">
      <c r="D18" s="17"/>
      <c r="E18" s="17"/>
      <c r="H18" s="27"/>
      <c r="I18" s="27" t="s">
        <v>43</v>
      </c>
      <c r="K18" s="28"/>
      <c r="L18" s="27"/>
      <c r="M18" s="33"/>
      <c r="N18" s="33"/>
    </row>
    <row r="19" spans="1:14" x14ac:dyDescent="0.25">
      <c r="I19" s="29"/>
      <c r="J19" s="27"/>
      <c r="K19" s="27"/>
      <c r="L19" s="29"/>
      <c r="M19" s="27"/>
      <c r="N19" s="27"/>
    </row>
    <row r="20" spans="1:14" x14ac:dyDescent="0.25">
      <c r="B20" s="29"/>
      <c r="C20" s="54" t="s">
        <v>16</v>
      </c>
      <c r="D20" s="27"/>
      <c r="E20" s="28"/>
      <c r="G20" s="29"/>
      <c r="H20" s="29"/>
      <c r="I20" s="27"/>
      <c r="J20" s="27"/>
      <c r="K20" s="27"/>
      <c r="L20" s="27"/>
      <c r="M20" s="27"/>
    </row>
    <row r="21" spans="1:14" x14ac:dyDescent="0.25">
      <c r="A21" s="1" t="s">
        <v>21</v>
      </c>
      <c r="B21" s="27"/>
      <c r="C21" s="29" t="s">
        <v>17</v>
      </c>
      <c r="D21" s="79">
        <f>G16*D6</f>
        <v>1.4435267643753106E-4</v>
      </c>
      <c r="E21" s="27" t="s">
        <v>10</v>
      </c>
      <c r="F21" s="20"/>
      <c r="G21" s="29"/>
      <c r="H21" s="29"/>
      <c r="I21" s="30"/>
      <c r="J21" s="27"/>
      <c r="K21" s="27"/>
      <c r="L21" s="27"/>
      <c r="M21" s="27"/>
    </row>
    <row r="22" spans="1:14" x14ac:dyDescent="0.25">
      <c r="B22" s="27"/>
      <c r="C22" s="29"/>
      <c r="D22" s="27"/>
      <c r="E22" s="27"/>
      <c r="F22" s="15"/>
      <c r="G22" s="17"/>
      <c r="H22" s="17"/>
      <c r="I22" s="29"/>
      <c r="J22" s="30"/>
      <c r="K22" s="27"/>
      <c r="L22" s="27"/>
      <c r="M22" s="27"/>
      <c r="N22" s="27"/>
    </row>
    <row r="23" spans="1:14" x14ac:dyDescent="0.25">
      <c r="F23" s="15"/>
    </row>
    <row r="24" spans="1:14" x14ac:dyDescent="0.25">
      <c r="F24" s="15"/>
    </row>
    <row r="25" spans="1:14" x14ac:dyDescent="0.25">
      <c r="F25" s="15"/>
    </row>
    <row r="26" spans="1:14" x14ac:dyDescent="0.25">
      <c r="F26" s="15"/>
    </row>
    <row r="27" spans="1:14" s="38" customFormat="1" ht="26.4" x14ac:dyDescent="0.25">
      <c r="A27" s="38" t="s">
        <v>23</v>
      </c>
      <c r="B27" s="39" t="s">
        <v>25</v>
      </c>
      <c r="C27" s="39" t="s">
        <v>26</v>
      </c>
      <c r="D27" s="39" t="s">
        <v>27</v>
      </c>
      <c r="E27" s="39" t="s">
        <v>28</v>
      </c>
      <c r="F27" s="39" t="s">
        <v>14</v>
      </c>
      <c r="G27" s="39" t="s">
        <v>29</v>
      </c>
      <c r="H27" s="56"/>
      <c r="I27" s="56"/>
    </row>
    <row r="28" spans="1:14" x14ac:dyDescent="0.25">
      <c r="B28" s="34">
        <f>G10/2</f>
        <v>0.5</v>
      </c>
      <c r="C28" s="35">
        <f>PI()*B28^2</f>
        <v>0.78539816339744828</v>
      </c>
      <c r="D28" s="34">
        <f>C28/(2*PI()*B28)</f>
        <v>0.25</v>
      </c>
      <c r="E28" s="35">
        <f>(1.49/C10)*C28*D28^(2/3)*G16^(0.5)</f>
        <v>4.6497970373636864E-2</v>
      </c>
      <c r="F28" s="35">
        <f>E28/C28</f>
        <v>5.9203054629638485E-2</v>
      </c>
      <c r="G28" s="37">
        <f>G10</f>
        <v>1</v>
      </c>
      <c r="H28" s="37"/>
      <c r="I28" s="57"/>
    </row>
    <row r="29" spans="1:14" x14ac:dyDescent="0.25">
      <c r="B29" s="34"/>
      <c r="C29" s="35"/>
      <c r="D29" s="34"/>
      <c r="E29" s="35"/>
      <c r="F29" s="35"/>
      <c r="G29" s="37"/>
      <c r="H29" s="37"/>
      <c r="I29" s="36"/>
    </row>
    <row r="30" spans="1:14" x14ac:dyDescent="0.25">
      <c r="B30" s="44" t="s">
        <v>31</v>
      </c>
      <c r="C30" s="41">
        <v>5.0000000000000004E-6</v>
      </c>
      <c r="D30" s="42" t="s">
        <v>32</v>
      </c>
      <c r="E30" s="40"/>
      <c r="F30" s="42"/>
      <c r="G30" s="42"/>
      <c r="H30" s="42"/>
      <c r="I30" s="36"/>
    </row>
    <row r="31" spans="1:14" x14ac:dyDescent="0.25">
      <c r="B31" s="44" t="s">
        <v>33</v>
      </c>
      <c r="C31" s="41">
        <v>1.664E-5</v>
      </c>
      <c r="D31" s="42" t="s">
        <v>34</v>
      </c>
      <c r="E31" s="40"/>
      <c r="F31" s="42"/>
      <c r="G31" s="42"/>
      <c r="H31" s="42"/>
      <c r="I31" s="36"/>
    </row>
    <row r="32" spans="1:14" x14ac:dyDescent="0.25">
      <c r="B32" s="34"/>
      <c r="C32" s="35"/>
      <c r="D32" s="34"/>
      <c r="E32" s="35"/>
      <c r="F32" s="35"/>
      <c r="G32" s="37"/>
      <c r="H32" s="37"/>
      <c r="I32" s="36"/>
    </row>
    <row r="33" spans="1:16" x14ac:dyDescent="0.25">
      <c r="B33" s="43"/>
      <c r="C33" s="47" t="s">
        <v>35</v>
      </c>
      <c r="D33" s="46" t="s">
        <v>36</v>
      </c>
      <c r="E33" s="42"/>
      <c r="F33" s="17" t="s">
        <v>46</v>
      </c>
      <c r="G33" s="1">
        <f>C30/G28</f>
        <v>5.0000000000000004E-6</v>
      </c>
      <c r="H33" s="62" t="s">
        <v>51</v>
      </c>
      <c r="I33" s="36"/>
      <c r="M33" s="18"/>
    </row>
    <row r="34" spans="1:16" x14ac:dyDescent="0.25">
      <c r="B34" s="44"/>
      <c r="C34" s="43"/>
      <c r="D34" s="42"/>
      <c r="E34" s="44"/>
      <c r="F34" s="44" t="s">
        <v>50</v>
      </c>
      <c r="G34" s="72">
        <f>G28*F28/C31</f>
        <v>3557.875879185005</v>
      </c>
      <c r="H34" s="62" t="s">
        <v>52</v>
      </c>
      <c r="I34" s="36"/>
      <c r="J34" s="17"/>
    </row>
    <row r="35" spans="1:16" x14ac:dyDescent="0.25">
      <c r="B35" s="44"/>
      <c r="C35" s="43"/>
      <c r="D35" s="42"/>
      <c r="E35" s="42"/>
      <c r="F35" s="58"/>
      <c r="G35" s="49"/>
      <c r="H35" s="49"/>
      <c r="I35" s="36"/>
    </row>
    <row r="36" spans="1:16" x14ac:dyDescent="0.25">
      <c r="B36" s="44"/>
      <c r="C36" s="45"/>
      <c r="D36" s="43"/>
      <c r="E36" s="42"/>
      <c r="F36" s="58" t="s">
        <v>45</v>
      </c>
      <c r="G36" s="61">
        <v>4.2999999999999997E-2</v>
      </c>
      <c r="H36" s="1" t="s">
        <v>93</v>
      </c>
    </row>
    <row r="37" spans="1:16" x14ac:dyDescent="0.25">
      <c r="B37" s="44"/>
      <c r="C37" s="43"/>
      <c r="D37" s="43"/>
      <c r="E37" s="42"/>
      <c r="F37" s="42"/>
      <c r="H37" s="1" t="s">
        <v>92</v>
      </c>
    </row>
    <row r="38" spans="1:16" ht="15.6" x14ac:dyDescent="0.35">
      <c r="B38" s="44"/>
      <c r="C38" s="44" t="s">
        <v>47</v>
      </c>
      <c r="D38" s="80">
        <f>G36*D6*(F28^2)/(2*G28*32.2)</f>
        <v>2.3402961511123947E-4</v>
      </c>
      <c r="E38" s="43" t="s">
        <v>10</v>
      </c>
      <c r="F38" s="42"/>
      <c r="H38" s="1" t="s">
        <v>91</v>
      </c>
    </row>
    <row r="39" spans="1:16" x14ac:dyDescent="0.25">
      <c r="B39" s="44"/>
      <c r="C39" s="43"/>
      <c r="D39" s="43"/>
      <c r="E39" s="42"/>
      <c r="F39" s="42"/>
    </row>
    <row r="40" spans="1:16" x14ac:dyDescent="0.25">
      <c r="B40" s="44"/>
      <c r="C40" s="43"/>
      <c r="D40" s="43"/>
      <c r="E40" s="42"/>
      <c r="F40" s="42"/>
    </row>
    <row r="41" spans="1:16" x14ac:dyDescent="0.25">
      <c r="F41" s="15"/>
    </row>
    <row r="42" spans="1:16" x14ac:dyDescent="0.25">
      <c r="A42" s="1" t="s">
        <v>37</v>
      </c>
      <c r="B42" s="17"/>
      <c r="C42" s="17" t="s">
        <v>38</v>
      </c>
      <c r="D42" s="79">
        <f>D21+D38</f>
        <v>3.783822915487705E-4</v>
      </c>
      <c r="E42" s="1" t="s">
        <v>10</v>
      </c>
      <c r="F42" s="90" t="str">
        <f>IF(B3="High Flow Q =",IF(AND(G51/12&gt;D42,D42&gt;0.021),"Total headloss can be greater than 0.021 ft. but is less than slot height, this is OK for the high flow check",IF(D42&gt;=G51/12,"Total headloss is greater than slot height - need to reduce total headloss","Total headloss is less than 0.021 feet so design is adequate.")),IF(D42&lt;0.021,"Headloss is less than max of 0.021 feet, design is adequate","Headloss exceeds max of 0.021 feet, modify the design to reduce headloss"))</f>
        <v>Headloss is less than max of 0.021 feet, design is adequate</v>
      </c>
      <c r="G42" s="90"/>
      <c r="H42" s="90"/>
      <c r="I42" s="90"/>
      <c r="J42" s="90"/>
      <c r="K42" s="91"/>
      <c r="L42" s="90"/>
      <c r="M42" s="90"/>
      <c r="N42" s="90"/>
      <c r="O42" s="90"/>
      <c r="P42" s="90"/>
    </row>
    <row r="43" spans="1:16" x14ac:dyDescent="0.25">
      <c r="B43" s="17"/>
      <c r="C43" s="17"/>
      <c r="K43" s="51"/>
    </row>
    <row r="44" spans="1:16" x14ac:dyDescent="0.25">
      <c r="F44" s="51"/>
      <c r="K44" s="51"/>
    </row>
    <row r="45" spans="1:16" x14ac:dyDescent="0.25">
      <c r="F45" s="51"/>
      <c r="K45" s="51"/>
    </row>
    <row r="46" spans="1:16" x14ac:dyDescent="0.25">
      <c r="F46" s="51"/>
      <c r="K46" s="51"/>
    </row>
    <row r="47" spans="1:16" x14ac:dyDescent="0.25">
      <c r="F47" s="51"/>
    </row>
    <row r="48" spans="1:16" x14ac:dyDescent="0.25">
      <c r="F48" s="51"/>
    </row>
    <row r="49" spans="1:14" x14ac:dyDescent="0.25">
      <c r="G49" s="15"/>
      <c r="H49" s="15"/>
    </row>
    <row r="50" spans="1:14" ht="14.4" x14ac:dyDescent="0.3">
      <c r="A50" t="s">
        <v>39</v>
      </c>
      <c r="B50" t="s">
        <v>54</v>
      </c>
      <c r="C50"/>
      <c r="D50"/>
      <c r="E50"/>
      <c r="F50"/>
      <c r="G50"/>
      <c r="H50"/>
      <c r="I50"/>
      <c r="J50"/>
    </row>
    <row r="51" spans="1:14" customFormat="1" ht="14.4" x14ac:dyDescent="0.3">
      <c r="B51" s="3" t="s">
        <v>64</v>
      </c>
      <c r="C51" s="2">
        <v>10</v>
      </c>
      <c r="D51" s="63" t="s">
        <v>10</v>
      </c>
      <c r="E51" s="50"/>
      <c r="F51" s="50" t="s">
        <v>40</v>
      </c>
      <c r="G51" s="2">
        <v>2</v>
      </c>
      <c r="H51" t="s">
        <v>94</v>
      </c>
    </row>
    <row r="52" spans="1:14" customFormat="1" ht="14.4" x14ac:dyDescent="0.3">
      <c r="B52" s="3" t="s">
        <v>53</v>
      </c>
      <c r="C52" s="59">
        <f>ROUNDDOWN(D6/(C51+1),0)</f>
        <v>9</v>
      </c>
      <c r="H52" s="4" t="s">
        <v>55</v>
      </c>
      <c r="I52" s="4"/>
      <c r="J52" s="4"/>
    </row>
    <row r="53" spans="1:14" customFormat="1" ht="14.4" x14ac:dyDescent="0.3">
      <c r="B53" s="3"/>
      <c r="C53" s="7"/>
      <c r="I53" s="4"/>
      <c r="J53" s="4"/>
      <c r="K53" s="4"/>
      <c r="L53" s="4"/>
      <c r="M53" s="4"/>
      <c r="N53" s="4"/>
    </row>
    <row r="54" spans="1:14" customFormat="1" ht="43.8" thickBot="1" x14ac:dyDescent="0.35">
      <c r="A54" s="65"/>
      <c r="B54" s="64" t="s">
        <v>48</v>
      </c>
      <c r="C54" s="64" t="s">
        <v>41</v>
      </c>
      <c r="D54" s="64" t="s">
        <v>0</v>
      </c>
      <c r="E54" s="64" t="s">
        <v>65</v>
      </c>
      <c r="F54" s="64" t="s">
        <v>1</v>
      </c>
      <c r="G54" s="64" t="s">
        <v>49</v>
      </c>
      <c r="H54" s="64" t="s">
        <v>63</v>
      </c>
      <c r="I54" s="67"/>
      <c r="J54" s="68"/>
      <c r="K54" s="4"/>
      <c r="L54" s="4"/>
      <c r="M54" s="4"/>
      <c r="N54" s="4"/>
    </row>
    <row r="55" spans="1:14" s="65" customFormat="1" ht="14.4" x14ac:dyDescent="0.3">
      <c r="A55" s="4"/>
      <c r="B55" s="32">
        <f>IF(B3="High Flow Q =",D42,IF(D42&lt;0.021,D42,"Error in Step 6"))</f>
        <v>3.783822915487705E-4</v>
      </c>
      <c r="C55" s="5">
        <f>$C$51*(1-0.2*B55)</f>
        <v>9.9992432354169019</v>
      </c>
      <c r="D55" t="b">
        <f>C55&gt;=0.8*$C$51</f>
        <v>1</v>
      </c>
      <c r="E55" s="6">
        <f>1.6*(1-C55/$C$51)+1.08</f>
        <v>1.0801210823332958</v>
      </c>
      <c r="F55" t="b">
        <f>B55&lt;E55</f>
        <v>1</v>
      </c>
      <c r="G55" s="60">
        <f>3.33*C55*B55^1.5</f>
        <v>2.4507983030664553E-4</v>
      </c>
      <c r="H55" s="81">
        <f>G55*C52</f>
        <v>2.2057184727598098E-3</v>
      </c>
      <c r="I55" s="69" t="str">
        <f>IF(B3="High Flow Q =","At High Flow Q","At Qwq")</f>
        <v>At Qwq</v>
      </c>
      <c r="J55" s="70"/>
      <c r="L55" s="66"/>
    </row>
    <row r="56" spans="1:14" s="4" customFormat="1" ht="14.4" x14ac:dyDescent="0.3">
      <c r="B56" s="74">
        <f>IF(B3="High Flow Q =",G51/12-0.001,0.021)</f>
        <v>2.1000000000000001E-2</v>
      </c>
      <c r="C56" s="5">
        <f>$C$51*(1-0.2*B56)</f>
        <v>9.9580000000000002</v>
      </c>
      <c r="D56" t="b">
        <f>C56&gt;=0.8*$C$51</f>
        <v>1</v>
      </c>
      <c r="E56" s="6">
        <f>1.6*(1-C56/$C$51)+1.08</f>
        <v>1.0867200000000001</v>
      </c>
      <c r="F56" t="b">
        <f t="shared" ref="F56" si="0">B56&lt;E56</f>
        <v>1</v>
      </c>
      <c r="G56" s="60">
        <f>3.33*C56*B56^1.5</f>
        <v>0.10091257715624116</v>
      </c>
      <c r="H56" s="81">
        <f>G56*C52</f>
        <v>0.90821319440617043</v>
      </c>
      <c r="I56" s="7" t="str">
        <f>IF(B3="High Flow Q =","At a maximum head that is slightly smaller than the slot height","At maximum head of 0.021 feet")</f>
        <v>At maximum head of 0.021 feet</v>
      </c>
      <c r="J56" s="8"/>
      <c r="L56"/>
    </row>
    <row r="57" spans="1:14" s="4" customFormat="1" ht="14.4" x14ac:dyDescent="0.3">
      <c r="B57" s="8"/>
      <c r="C57" s="8"/>
      <c r="D57" s="9"/>
      <c r="F57"/>
      <c r="I57" s="7"/>
      <c r="J57" s="8"/>
      <c r="L57"/>
    </row>
    <row r="58" spans="1:14" s="4" customFormat="1" ht="14.4" x14ac:dyDescent="0.3">
      <c r="B58" s="8" t="s">
        <v>44</v>
      </c>
      <c r="C58" s="8"/>
      <c r="D58" s="9"/>
      <c r="F58" s="10"/>
      <c r="I58" s="7"/>
      <c r="J58" s="8"/>
      <c r="L58"/>
    </row>
    <row r="59" spans="1:14" s="4" customFormat="1" ht="14.4" x14ac:dyDescent="0.3">
      <c r="B59" s="8" t="s">
        <v>60</v>
      </c>
      <c r="C59" s="8"/>
      <c r="D59" s="9"/>
      <c r="F59" s="10"/>
      <c r="I59" s="7"/>
      <c r="J59" s="8"/>
      <c r="L59"/>
    </row>
    <row r="60" spans="1:14" s="4" customFormat="1" ht="14.4" x14ac:dyDescent="0.3">
      <c r="B60" s="8"/>
      <c r="C60" s="8"/>
      <c r="D60" s="9"/>
      <c r="F60" s="10"/>
      <c r="I60" s="7"/>
      <c r="J60" s="8"/>
      <c r="L60"/>
    </row>
    <row r="61" spans="1:14" s="4" customFormat="1" ht="14.4" x14ac:dyDescent="0.3">
      <c r="B61" s="85" t="str">
        <f>IF(B3="High Flow Q =",IF(H55&gt;D4,"HIGH FLOWS CAN BE PASSED BY NUMBER OF SLOTS CHOSEN - DESIGN IS ADEQUATE",IF(H56&gt;D4,"HIGH FLOWS CAN BE PASSED BY THE NUMBER OF SLOTS CHOSEN - DESIGN IS ADEQUATE","NEED TO REDESIGN TO ALLOW FOR PASSAGE OF HIGH FLOWS")),IF(H55&lt;D4,IF(H56&lt;D4,"NEED MORE SLOTS TO PASS INCOMING WATER QUALITY FLOWS","WATER QUALITY FLOWS CAN BE PASSED BY NUMBER OF SLOTS CHOSEN - DESIGN IS ADEQUATE"),"WATER QUALITY FLOWS CAN BE PASSED BY NUMBER OF SLOTS CHOSEN - DESIGN IS ADEQUATE"))</f>
        <v>WATER QUALITY FLOWS CAN BE PASSED BY NUMBER OF SLOTS CHOSEN - DESIGN IS ADEQUATE</v>
      </c>
      <c r="C61" s="85"/>
      <c r="D61" s="86"/>
      <c r="E61" s="87"/>
      <c r="F61" s="88"/>
      <c r="G61" s="87"/>
      <c r="H61" s="87"/>
      <c r="I61" s="7"/>
      <c r="J61" s="8"/>
      <c r="L61"/>
    </row>
    <row r="62" spans="1:14" s="4" customFormat="1" ht="14.4" x14ac:dyDescent="0.3">
      <c r="B62" s="85"/>
      <c r="C62" s="85"/>
      <c r="D62" s="86"/>
      <c r="E62" s="87"/>
      <c r="F62" s="88"/>
      <c r="G62" s="87"/>
      <c r="H62" s="87"/>
      <c r="I62" s="7"/>
      <c r="J62" s="8"/>
      <c r="L62"/>
    </row>
    <row r="63" spans="1:14" s="4" customFormat="1" ht="14.4" x14ac:dyDescent="0.3">
      <c r="B63" s="8"/>
      <c r="C63" s="8"/>
      <c r="D63" s="9"/>
      <c r="F63" s="10"/>
      <c r="I63" s="7"/>
      <c r="J63" s="8"/>
      <c r="L63"/>
    </row>
    <row r="64" spans="1:14" ht="17.399999999999999" x14ac:dyDescent="0.3">
      <c r="B64" s="92" t="s">
        <v>95</v>
      </c>
      <c r="C64" s="93"/>
      <c r="D64" s="93"/>
      <c r="E64" s="93"/>
      <c r="F64" s="93"/>
      <c r="G64" s="94"/>
      <c r="H64" s="94"/>
      <c r="I64" s="93"/>
      <c r="J64" s="93"/>
      <c r="K64" s="93"/>
      <c r="L64" s="93"/>
      <c r="M64" s="93"/>
    </row>
    <row r="65" spans="1:10" x14ac:dyDescent="0.25">
      <c r="A65" s="15" t="s">
        <v>18</v>
      </c>
      <c r="B65" s="33" t="s">
        <v>59</v>
      </c>
      <c r="C65" s="33"/>
    </row>
    <row r="66" spans="1:10" x14ac:dyDescent="0.25">
      <c r="A66" s="15" t="s">
        <v>19</v>
      </c>
      <c r="B66" s="33" t="s">
        <v>84</v>
      </c>
      <c r="C66" s="33"/>
    </row>
    <row r="67" spans="1:10" x14ac:dyDescent="0.25">
      <c r="A67" s="15"/>
      <c r="B67" s="33" t="s">
        <v>83</v>
      </c>
      <c r="C67" s="33"/>
    </row>
    <row r="68" spans="1:10" x14ac:dyDescent="0.25">
      <c r="A68" s="15" t="s">
        <v>20</v>
      </c>
      <c r="B68" s="33" t="s">
        <v>86</v>
      </c>
      <c r="C68" s="33"/>
    </row>
    <row r="69" spans="1:10" x14ac:dyDescent="0.25">
      <c r="A69" s="15"/>
      <c r="B69" s="33" t="s">
        <v>85</v>
      </c>
      <c r="C69" s="33"/>
    </row>
    <row r="70" spans="1:10" x14ac:dyDescent="0.25">
      <c r="A70" s="15" t="s">
        <v>21</v>
      </c>
      <c r="B70" s="15" t="s">
        <v>22</v>
      </c>
      <c r="C70" s="15"/>
    </row>
    <row r="71" spans="1:10" x14ac:dyDescent="0.25">
      <c r="A71" s="33" t="s">
        <v>23</v>
      </c>
      <c r="B71" s="33" t="s">
        <v>24</v>
      </c>
      <c r="C71" s="33"/>
    </row>
    <row r="72" spans="1:10" x14ac:dyDescent="0.25">
      <c r="A72" s="33" t="s">
        <v>37</v>
      </c>
      <c r="B72" s="33" t="s">
        <v>88</v>
      </c>
      <c r="C72" s="33"/>
    </row>
    <row r="73" spans="1:10" x14ac:dyDescent="0.25">
      <c r="A73" s="33"/>
      <c r="B73" s="33" t="s">
        <v>87</v>
      </c>
      <c r="C73" s="33"/>
    </row>
    <row r="74" spans="1:10" x14ac:dyDescent="0.25">
      <c r="A74" s="33" t="s">
        <v>39</v>
      </c>
      <c r="B74" s="33" t="s">
        <v>90</v>
      </c>
      <c r="C74" s="33"/>
      <c r="I74" s="27"/>
      <c r="J74" s="27"/>
    </row>
    <row r="75" spans="1:10" s="27" customFormat="1" x14ac:dyDescent="0.25">
      <c r="B75" s="33" t="s">
        <v>89</v>
      </c>
      <c r="C75" s="15"/>
      <c r="D75" s="1"/>
      <c r="E75" s="1"/>
      <c r="F75" s="1"/>
      <c r="G75" s="1"/>
      <c r="H75" s="1"/>
    </row>
    <row r="76" spans="1:10" s="27" customFormat="1" x14ac:dyDescent="0.25">
      <c r="A76" s="1"/>
      <c r="B76" s="1" t="s">
        <v>96</v>
      </c>
      <c r="C76" s="15"/>
      <c r="D76" s="1"/>
      <c r="E76" s="1"/>
      <c r="F76" s="1"/>
      <c r="G76" s="1"/>
      <c r="H76" s="1"/>
      <c r="I76" s="1"/>
      <c r="J76" s="1"/>
    </row>
    <row r="77" spans="1:10" s="27" customFormat="1" x14ac:dyDescent="0.25">
      <c r="A77" s="33"/>
      <c r="B77" s="1"/>
      <c r="C77" s="33"/>
      <c r="D77" s="1"/>
      <c r="E77" s="1"/>
      <c r="F77" s="1"/>
      <c r="G77" s="1"/>
      <c r="H77" s="1"/>
      <c r="I77" s="1"/>
      <c r="J77" s="1"/>
    </row>
    <row r="78" spans="1:10" customFormat="1" ht="14.4" x14ac:dyDescent="0.3">
      <c r="A78" s="11"/>
      <c r="B78" s="5"/>
      <c r="C78" s="11"/>
      <c r="D78" s="5"/>
      <c r="F78" s="6"/>
      <c r="I78" s="5"/>
    </row>
    <row r="79" spans="1:10" customFormat="1" ht="14.4" x14ac:dyDescent="0.3">
      <c r="A79" s="11"/>
      <c r="B79" s="5"/>
      <c r="C79" s="11"/>
      <c r="D79" s="5"/>
      <c r="F79" s="6"/>
      <c r="I79" s="5"/>
    </row>
    <row r="80" spans="1:10" customFormat="1" ht="14.4" x14ac:dyDescent="0.3">
      <c r="A80" s="11"/>
      <c r="B80" s="5"/>
      <c r="C80" s="11"/>
      <c r="D80" s="5"/>
      <c r="F80" s="6"/>
      <c r="I80" s="5"/>
    </row>
    <row r="81" spans="1:15" customFormat="1" ht="14.4" x14ac:dyDescent="0.3">
      <c r="A81" s="11"/>
      <c r="B81" s="5"/>
      <c r="C81" s="11"/>
      <c r="D81" s="5"/>
      <c r="F81" s="6"/>
      <c r="I81" s="4"/>
      <c r="J81" s="4"/>
    </row>
    <row r="82" spans="1:15" customFormat="1" ht="14.4" x14ac:dyDescent="0.3">
      <c r="A82" s="11"/>
      <c r="B82" s="5"/>
      <c r="C82" s="11"/>
      <c r="D82" s="5"/>
      <c r="F82" s="6"/>
      <c r="I82" s="4"/>
      <c r="J82" s="4"/>
      <c r="K82" s="4"/>
      <c r="L82" s="4"/>
      <c r="M82" s="4"/>
      <c r="N82" s="4"/>
      <c r="O82" s="4"/>
    </row>
    <row r="83" spans="1:15" x14ac:dyDescent="0.25">
      <c r="G83" s="15"/>
      <c r="H83" s="15"/>
    </row>
    <row r="84" spans="1:15" customFormat="1" ht="14.4" x14ac:dyDescent="0.3">
      <c r="A84" s="11"/>
      <c r="B84" s="5"/>
      <c r="C84" s="11"/>
      <c r="D84" s="5"/>
      <c r="F84" s="6"/>
      <c r="I84" s="1"/>
      <c r="J84" s="1"/>
      <c r="K84" s="4"/>
      <c r="L84" s="4"/>
      <c r="M84" s="4"/>
      <c r="N84" s="4"/>
      <c r="O84" s="4"/>
    </row>
    <row r="85" spans="1:15" ht="14.4" x14ac:dyDescent="0.3">
      <c r="A85" s="11"/>
      <c r="B85" s="5"/>
      <c r="C85" s="11"/>
      <c r="D85" s="5"/>
      <c r="E85"/>
      <c r="F85" s="6"/>
      <c r="G85"/>
      <c r="H85"/>
    </row>
    <row r="86" spans="1:15" ht="14.4" x14ac:dyDescent="0.3">
      <c r="A86" s="12"/>
      <c r="B86" s="4"/>
      <c r="C86" s="12"/>
      <c r="D86" s="4"/>
      <c r="E86" s="4"/>
      <c r="F86" s="4"/>
      <c r="G86" s="4"/>
      <c r="H86" s="4"/>
    </row>
    <row r="87" spans="1:15" ht="14.4" x14ac:dyDescent="0.3">
      <c r="A87" s="12"/>
      <c r="B87" s="13"/>
      <c r="C87" s="12"/>
      <c r="D87" s="13"/>
      <c r="E87" s="14"/>
      <c r="F87" s="4"/>
      <c r="G87" s="4"/>
      <c r="H87" s="4"/>
    </row>
    <row r="88" spans="1:15" x14ac:dyDescent="0.25">
      <c r="G88" s="15"/>
      <c r="H88" s="15"/>
    </row>
    <row r="89" spans="1:15" x14ac:dyDescent="0.25">
      <c r="B89" s="15"/>
      <c r="C89" s="15"/>
    </row>
    <row r="90" spans="1:15" x14ac:dyDescent="0.25">
      <c r="B90" s="27"/>
      <c r="C90" s="31"/>
      <c r="D90" s="27"/>
      <c r="E90" s="27"/>
      <c r="F90" s="27"/>
      <c r="G90" s="27"/>
      <c r="H90" s="27"/>
    </row>
    <row r="91" spans="1:15" x14ac:dyDescent="0.25">
      <c r="B91" s="27"/>
      <c r="C91" s="31"/>
      <c r="D91" s="27"/>
      <c r="E91" s="27"/>
      <c r="F91" s="27"/>
      <c r="G91" s="27"/>
      <c r="H91" s="27"/>
    </row>
  </sheetData>
  <mergeCells count="2">
    <mergeCell ref="B3:C3"/>
    <mergeCell ref="B4:C4"/>
  </mergeCells>
  <dataValidations count="1">
    <dataValidation type="list" allowBlank="1" showErrorMessage="1" sqref="B3:C3">
      <formula1>"Water Quality Flow Qwq =,High Flow Q ="</formula1>
    </dataValidation>
  </dataValidations>
  <pageMargins left="0.25" right="0.25" top="0.25" bottom="0.5" header="0.05" footer="0.3"/>
  <pageSetup scale="67" orientation="portrait" r:id="rId1"/>
  <headerFooter alignWithMargins="0">
    <oddFooter>&amp;L&amp;"-,Bold"WSDOT Slotted Pipe Flow Spreader Checker Version 1.0&amp;C&amp;D  &amp;T&amp;R&amp;F  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1"/>
  <sheetViews>
    <sheetView zoomScale="85" zoomScaleNormal="85" zoomScalePageLayoutView="85" workbookViewId="0">
      <selection activeCell="B78" sqref="B78"/>
    </sheetView>
  </sheetViews>
  <sheetFormatPr defaultColWidth="9.109375" defaultRowHeight="13.2" x14ac:dyDescent="0.25"/>
  <cols>
    <col min="1" max="1" width="6.88671875" style="1" customWidth="1"/>
    <col min="2" max="2" width="23.109375" style="1" customWidth="1"/>
    <col min="3" max="3" width="8.109375" style="1" customWidth="1"/>
    <col min="4" max="4" width="11.109375" style="1" customWidth="1"/>
    <col min="5" max="5" width="13.109375" style="1" customWidth="1"/>
    <col min="6" max="6" width="7.109375" style="1" customWidth="1"/>
    <col min="7" max="8" width="12.5546875" style="1" customWidth="1"/>
    <col min="9" max="9" width="9.33203125" style="1" customWidth="1"/>
    <col min="10" max="10" width="8.88671875" style="1" customWidth="1"/>
    <col min="11" max="11" width="2.5546875" style="1" customWidth="1"/>
    <col min="12" max="12" width="4.109375" style="1" customWidth="1"/>
    <col min="13" max="13" width="4.33203125" style="1" customWidth="1"/>
    <col min="14" max="16384" width="9.109375" style="1"/>
  </cols>
  <sheetData>
    <row r="1" spans="1:14" ht="21" x14ac:dyDescent="0.4">
      <c r="B1" s="84" t="s">
        <v>76</v>
      </c>
    </row>
    <row r="2" spans="1:14" x14ac:dyDescent="0.25">
      <c r="B2" s="1" t="s">
        <v>66</v>
      </c>
    </row>
    <row r="3" spans="1:14" ht="14.4" x14ac:dyDescent="0.3">
      <c r="A3" s="1" t="s">
        <v>18</v>
      </c>
      <c r="B3" s="95" t="s">
        <v>57</v>
      </c>
      <c r="C3" s="96"/>
      <c r="D3" s="16">
        <v>0.88400000000000001</v>
      </c>
      <c r="E3" s="15" t="s">
        <v>3</v>
      </c>
      <c r="F3" s="75" t="s">
        <v>58</v>
      </c>
    </row>
    <row r="4" spans="1:14" ht="14.4" x14ac:dyDescent="0.3">
      <c r="A4" s="1" t="s">
        <v>19</v>
      </c>
      <c r="B4" s="97" t="s">
        <v>4</v>
      </c>
      <c r="C4" s="98"/>
      <c r="D4" s="48">
        <f>D3/4</f>
        <v>0.221</v>
      </c>
      <c r="E4" s="15" t="s">
        <v>3</v>
      </c>
      <c r="F4" s="75" t="s">
        <v>80</v>
      </c>
    </row>
    <row r="5" spans="1:14" x14ac:dyDescent="0.25">
      <c r="F5" s="75"/>
    </row>
    <row r="6" spans="1:14" x14ac:dyDescent="0.25">
      <c r="B6" s="15"/>
      <c r="C6" s="82" t="s">
        <v>5</v>
      </c>
      <c r="D6" s="16">
        <v>100</v>
      </c>
      <c r="E6" s="15" t="s">
        <v>6</v>
      </c>
      <c r="F6" s="75" t="s">
        <v>81</v>
      </c>
      <c r="G6" s="17"/>
      <c r="H6" s="17"/>
      <c r="K6" s="15"/>
    </row>
    <row r="7" spans="1:14" x14ac:dyDescent="0.25">
      <c r="B7" s="15"/>
      <c r="C7" s="82"/>
      <c r="E7" s="15"/>
      <c r="G7" s="17"/>
      <c r="H7" s="17"/>
      <c r="K7" s="15"/>
    </row>
    <row r="8" spans="1:14" x14ac:dyDescent="0.25">
      <c r="B8" s="15"/>
      <c r="F8" s="15"/>
      <c r="I8" s="17"/>
      <c r="L8" s="15"/>
    </row>
    <row r="10" spans="1:14" x14ac:dyDescent="0.25">
      <c r="B10" s="17" t="s">
        <v>7</v>
      </c>
      <c r="C10" s="52">
        <v>1.2E-2</v>
      </c>
      <c r="D10" s="19" t="s">
        <v>8</v>
      </c>
      <c r="E10" s="19"/>
      <c r="F10" s="82" t="s">
        <v>9</v>
      </c>
      <c r="G10" s="53">
        <v>1</v>
      </c>
      <c r="H10" s="71" t="s">
        <v>10</v>
      </c>
      <c r="I10" s="20"/>
    </row>
    <row r="11" spans="1:14" x14ac:dyDescent="0.25">
      <c r="B11" s="17"/>
      <c r="C11" s="18"/>
      <c r="D11" s="19"/>
      <c r="E11" s="19"/>
      <c r="F11" s="82"/>
      <c r="G11" s="18"/>
      <c r="H11" s="18"/>
      <c r="I11" s="20"/>
    </row>
    <row r="12" spans="1:14" x14ac:dyDescent="0.25">
      <c r="B12" s="75" t="s">
        <v>82</v>
      </c>
      <c r="M12" s="15"/>
      <c r="N12" s="33"/>
    </row>
    <row r="13" spans="1:14" x14ac:dyDescent="0.25">
      <c r="B13" s="21" t="s">
        <v>11</v>
      </c>
      <c r="C13" s="22" t="s">
        <v>12</v>
      </c>
      <c r="D13" s="22" t="s">
        <v>26</v>
      </c>
      <c r="E13" s="22" t="s">
        <v>67</v>
      </c>
      <c r="F13" s="22" t="s">
        <v>27</v>
      </c>
      <c r="G13" s="22" t="s">
        <v>13</v>
      </c>
      <c r="H13" s="22"/>
      <c r="I13" s="22" t="s">
        <v>14</v>
      </c>
      <c r="M13" s="15"/>
      <c r="N13" s="33"/>
    </row>
    <row r="14" spans="1:14" x14ac:dyDescent="0.25">
      <c r="B14" s="23">
        <v>180</v>
      </c>
      <c r="C14" s="24">
        <f>SIN((RADIANS(B14)))</f>
        <v>1.22514845490862E-16</v>
      </c>
      <c r="D14" s="25">
        <f>0.5*(((G10/2)^2)*((PI()*(B14/180))-(C14)))</f>
        <v>0.39269908169872414</v>
      </c>
      <c r="E14" s="25">
        <f>PI()*G10/2</f>
        <v>1.5707963267948966</v>
      </c>
      <c r="F14" s="24">
        <f>(D14)/E14</f>
        <v>0.25</v>
      </c>
      <c r="G14" s="78">
        <f>(1.49/C10)*D14*(F14)^(2/3)*(G16^0.5)</f>
        <v>0.22095703868371322</v>
      </c>
      <c r="H14" s="24"/>
      <c r="I14" s="26">
        <f>G14/D14</f>
        <v>0.56266247867936148</v>
      </c>
      <c r="M14" s="15"/>
      <c r="N14" s="33"/>
    </row>
    <row r="15" spans="1:14" x14ac:dyDescent="0.25">
      <c r="M15" s="15"/>
      <c r="N15" s="15"/>
    </row>
    <row r="16" spans="1:14" x14ac:dyDescent="0.25">
      <c r="A16" s="1" t="s">
        <v>20</v>
      </c>
      <c r="B16" s="27"/>
      <c r="C16" s="55"/>
      <c r="D16" s="27"/>
      <c r="E16" s="27"/>
      <c r="F16" s="83" t="s">
        <v>77</v>
      </c>
      <c r="G16" s="77">
        <v>1.3038646784326724E-4</v>
      </c>
      <c r="H16" s="31" t="str">
        <f>IF(B3="High Flow Q =","ft/ft       &lt;-----iterate this value until High Flow Q = Qsplit","ft/ft       &lt;-----iterate this value until Water Quality Flow Qwq = Qsplit")</f>
        <v>ft/ft       &lt;-----iterate this value until High Flow Q = Qsplit</v>
      </c>
      <c r="M16" s="33"/>
      <c r="N16" s="33"/>
    </row>
    <row r="17" spans="1:14" x14ac:dyDescent="0.25">
      <c r="I17" s="1" t="s">
        <v>15</v>
      </c>
      <c r="M17" s="33"/>
      <c r="N17" s="33"/>
    </row>
    <row r="18" spans="1:14" x14ac:dyDescent="0.25">
      <c r="D18" s="17"/>
      <c r="E18" s="17"/>
      <c r="H18" s="27"/>
      <c r="I18" s="27" t="s">
        <v>43</v>
      </c>
      <c r="K18" s="28"/>
      <c r="L18" s="27"/>
      <c r="M18" s="33"/>
      <c r="N18" s="33"/>
    </row>
    <row r="19" spans="1:14" x14ac:dyDescent="0.25">
      <c r="I19" s="29"/>
      <c r="J19" s="27"/>
      <c r="K19" s="27"/>
      <c r="L19" s="29"/>
      <c r="M19" s="27"/>
      <c r="N19" s="27"/>
    </row>
    <row r="20" spans="1:14" x14ac:dyDescent="0.25">
      <c r="B20" s="29"/>
      <c r="C20" s="54" t="s">
        <v>16</v>
      </c>
      <c r="D20" s="27"/>
      <c r="E20" s="28"/>
      <c r="G20" s="29"/>
      <c r="H20" s="29"/>
      <c r="I20" s="27"/>
      <c r="J20" s="27"/>
      <c r="K20" s="27"/>
      <c r="L20" s="27"/>
      <c r="M20" s="27"/>
    </row>
    <row r="21" spans="1:14" x14ac:dyDescent="0.25">
      <c r="A21" s="1" t="s">
        <v>21</v>
      </c>
      <c r="B21" s="27"/>
      <c r="C21" s="29" t="s">
        <v>17</v>
      </c>
      <c r="D21" s="79">
        <f>G16*D6</f>
        <v>1.3038646784326724E-2</v>
      </c>
      <c r="E21" s="27" t="s">
        <v>10</v>
      </c>
      <c r="F21" s="20"/>
      <c r="G21" s="29"/>
      <c r="H21" s="29"/>
      <c r="I21" s="30"/>
      <c r="J21" s="27"/>
      <c r="K21" s="27"/>
      <c r="L21" s="27"/>
      <c r="M21" s="27"/>
    </row>
    <row r="22" spans="1:14" x14ac:dyDescent="0.25">
      <c r="B22" s="27"/>
      <c r="C22" s="29"/>
      <c r="D22" s="27"/>
      <c r="E22" s="27"/>
      <c r="F22" s="15"/>
      <c r="G22" s="17"/>
      <c r="H22" s="17"/>
      <c r="I22" s="29"/>
      <c r="J22" s="30"/>
      <c r="K22" s="27"/>
      <c r="L22" s="27"/>
      <c r="M22" s="27"/>
      <c r="N22" s="27"/>
    </row>
    <row r="23" spans="1:14" x14ac:dyDescent="0.25">
      <c r="F23" s="15"/>
    </row>
    <row r="24" spans="1:14" x14ac:dyDescent="0.25">
      <c r="F24" s="15"/>
    </row>
    <row r="25" spans="1:14" x14ac:dyDescent="0.25">
      <c r="F25" s="15"/>
    </row>
    <row r="26" spans="1:14" x14ac:dyDescent="0.25">
      <c r="F26" s="15"/>
    </row>
    <row r="27" spans="1:14" s="38" customFormat="1" ht="26.4" x14ac:dyDescent="0.25">
      <c r="A27" s="38" t="s">
        <v>23</v>
      </c>
      <c r="B27" s="39" t="s">
        <v>25</v>
      </c>
      <c r="C27" s="39" t="s">
        <v>26</v>
      </c>
      <c r="D27" s="39" t="s">
        <v>27</v>
      </c>
      <c r="E27" s="39" t="s">
        <v>28</v>
      </c>
      <c r="F27" s="39" t="s">
        <v>14</v>
      </c>
      <c r="G27" s="39" t="s">
        <v>29</v>
      </c>
      <c r="H27" s="56"/>
      <c r="I27" s="56"/>
    </row>
    <row r="28" spans="1:14" x14ac:dyDescent="0.25">
      <c r="B28" s="34">
        <f>G10/2</f>
        <v>0.5</v>
      </c>
      <c r="C28" s="35">
        <f>PI()*B28^2</f>
        <v>0.78539816339744828</v>
      </c>
      <c r="D28" s="34">
        <f>C28/(2*PI()*B28)</f>
        <v>0.25</v>
      </c>
      <c r="E28" s="35">
        <f>(1.49/C10)*C28*D28^(2/3)*G16^(0.5)</f>
        <v>0.44191407736742644</v>
      </c>
      <c r="F28" s="35">
        <f>E28/C28</f>
        <v>0.56266247867936148</v>
      </c>
      <c r="G28" s="37">
        <f>G10</f>
        <v>1</v>
      </c>
      <c r="H28" s="37"/>
      <c r="I28" s="57"/>
    </row>
    <row r="29" spans="1:14" x14ac:dyDescent="0.25">
      <c r="B29" s="34"/>
      <c r="C29" s="35"/>
      <c r="D29" s="34"/>
      <c r="E29" s="35"/>
      <c r="F29" s="35"/>
      <c r="G29" s="37"/>
      <c r="H29" s="37"/>
      <c r="I29" s="36"/>
    </row>
    <row r="30" spans="1:14" x14ac:dyDescent="0.25">
      <c r="B30" s="44" t="s">
        <v>31</v>
      </c>
      <c r="C30" s="41">
        <v>5.0000000000000004E-6</v>
      </c>
      <c r="D30" s="42" t="s">
        <v>32</v>
      </c>
      <c r="E30" s="40"/>
      <c r="F30" s="42"/>
      <c r="G30" s="42"/>
      <c r="H30" s="42"/>
      <c r="I30" s="36"/>
    </row>
    <row r="31" spans="1:14" x14ac:dyDescent="0.25">
      <c r="B31" s="44" t="s">
        <v>33</v>
      </c>
      <c r="C31" s="41">
        <v>1.664E-5</v>
      </c>
      <c r="D31" s="42" t="s">
        <v>34</v>
      </c>
      <c r="E31" s="40"/>
      <c r="F31" s="42"/>
      <c r="G31" s="42"/>
      <c r="H31" s="42"/>
      <c r="I31" s="36"/>
    </row>
    <row r="32" spans="1:14" x14ac:dyDescent="0.25">
      <c r="B32" s="34"/>
      <c r="C32" s="35"/>
      <c r="D32" s="34"/>
      <c r="E32" s="35"/>
      <c r="F32" s="35"/>
      <c r="G32" s="37"/>
      <c r="H32" s="37"/>
      <c r="I32" s="36"/>
    </row>
    <row r="33" spans="1:16" x14ac:dyDescent="0.25">
      <c r="B33" s="43"/>
      <c r="C33" s="47" t="s">
        <v>35</v>
      </c>
      <c r="D33" s="46" t="s">
        <v>36</v>
      </c>
      <c r="E33" s="42"/>
      <c r="F33" s="17" t="s">
        <v>46</v>
      </c>
      <c r="G33" s="1">
        <f>C30/G28</f>
        <v>5.0000000000000004E-6</v>
      </c>
      <c r="H33" s="62" t="s">
        <v>51</v>
      </c>
      <c r="I33" s="36"/>
      <c r="M33" s="18"/>
    </row>
    <row r="34" spans="1:16" x14ac:dyDescent="0.25">
      <c r="B34" s="44"/>
      <c r="C34" s="43"/>
      <c r="D34" s="42"/>
      <c r="E34" s="44"/>
      <c r="F34" s="44" t="s">
        <v>50</v>
      </c>
      <c r="G34" s="72">
        <f>G28*F28/C31</f>
        <v>33813.850882173167</v>
      </c>
      <c r="H34" s="62" t="s">
        <v>52</v>
      </c>
      <c r="I34" s="36"/>
      <c r="J34" s="17"/>
    </row>
    <row r="35" spans="1:16" x14ac:dyDescent="0.25">
      <c r="B35" s="44"/>
      <c r="C35" s="43"/>
      <c r="D35" s="42"/>
      <c r="E35" s="42"/>
      <c r="F35" s="58"/>
      <c r="G35" s="49"/>
      <c r="H35" s="49"/>
      <c r="I35" s="36"/>
    </row>
    <row r="36" spans="1:16" x14ac:dyDescent="0.25">
      <c r="B36" s="44"/>
      <c r="C36" s="45"/>
      <c r="D36" s="43"/>
      <c r="E36" s="42"/>
      <c r="F36" s="58" t="s">
        <v>45</v>
      </c>
      <c r="G36" s="61">
        <v>2.3E-2</v>
      </c>
      <c r="H36" s="1" t="s">
        <v>93</v>
      </c>
    </row>
    <row r="37" spans="1:16" x14ac:dyDescent="0.25">
      <c r="B37" s="44"/>
      <c r="C37" s="43"/>
      <c r="D37" s="43"/>
      <c r="E37" s="42"/>
      <c r="F37" s="42"/>
      <c r="H37" s="1" t="s">
        <v>92</v>
      </c>
    </row>
    <row r="38" spans="1:16" ht="15.6" x14ac:dyDescent="0.35">
      <c r="B38" s="44"/>
      <c r="C38" s="44" t="s">
        <v>47</v>
      </c>
      <c r="D38" s="80">
        <f>G36*D6*(F28^2)/(2*G28*32.2)</f>
        <v>1.1306752318342959E-2</v>
      </c>
      <c r="E38" s="43" t="s">
        <v>10</v>
      </c>
      <c r="F38" s="42"/>
      <c r="H38" s="1" t="s">
        <v>91</v>
      </c>
    </row>
    <row r="39" spans="1:16" x14ac:dyDescent="0.25">
      <c r="B39" s="44"/>
      <c r="C39" s="43"/>
      <c r="D39" s="43"/>
      <c r="E39" s="42"/>
      <c r="F39" s="42"/>
    </row>
    <row r="40" spans="1:16" x14ac:dyDescent="0.25">
      <c r="B40" s="44"/>
      <c r="C40" s="43"/>
      <c r="D40" s="43"/>
      <c r="E40" s="42"/>
      <c r="F40" s="42"/>
    </row>
    <row r="41" spans="1:16" x14ac:dyDescent="0.25">
      <c r="F41" s="15"/>
    </row>
    <row r="42" spans="1:16" x14ac:dyDescent="0.25">
      <c r="A42" s="1" t="s">
        <v>37</v>
      </c>
      <c r="B42" s="17"/>
      <c r="C42" s="17" t="s">
        <v>38</v>
      </c>
      <c r="D42" s="79">
        <f>D21+D38</f>
        <v>2.4345399102669682E-2</v>
      </c>
      <c r="E42" s="1" t="s">
        <v>10</v>
      </c>
      <c r="F42" s="90" t="str">
        <f>IF(B3="High Flow Q =",IF(AND(G51/12&gt;D42,D42&gt;0.021),"Total headloss can be greater than 0.021 ft. but is less than slot height, this is OK for the high flow check",IF(D42&gt;=G51/12,"Total headloss is greater than slot height - need to reduce total headloss","Total headloss is less than 0.021 feet so design is adequate.")),IF(D42&lt;0.021,"Headloss is less than max of 0.021 feet, design is adequate","Headloss exceeds max of 0.021 feet, modify the design to reduce headloss"))</f>
        <v>Total headloss can be greater than 0.021 ft. but is less than slot height, this is OK for the high flow check</v>
      </c>
      <c r="G42" s="90"/>
      <c r="H42" s="90"/>
      <c r="I42" s="90"/>
      <c r="J42" s="90"/>
      <c r="K42" s="91"/>
      <c r="L42" s="90"/>
      <c r="M42" s="90"/>
      <c r="N42" s="90"/>
      <c r="O42" s="90"/>
      <c r="P42" s="90"/>
    </row>
    <row r="43" spans="1:16" x14ac:dyDescent="0.25">
      <c r="B43" s="17"/>
      <c r="C43" s="17"/>
      <c r="K43" s="51"/>
    </row>
    <row r="44" spans="1:16" x14ac:dyDescent="0.25">
      <c r="F44" s="51"/>
      <c r="K44" s="51"/>
    </row>
    <row r="45" spans="1:16" x14ac:dyDescent="0.25">
      <c r="F45" s="51"/>
      <c r="K45" s="51"/>
    </row>
    <row r="46" spans="1:16" x14ac:dyDescent="0.25">
      <c r="F46" s="51"/>
      <c r="K46" s="51"/>
    </row>
    <row r="47" spans="1:16" x14ac:dyDescent="0.25">
      <c r="F47" s="51"/>
    </row>
    <row r="48" spans="1:16" x14ac:dyDescent="0.25">
      <c r="F48" s="51"/>
    </row>
    <row r="49" spans="1:14" x14ac:dyDescent="0.25">
      <c r="G49" s="15"/>
      <c r="H49" s="15"/>
    </row>
    <row r="50" spans="1:14" ht="14.4" x14ac:dyDescent="0.3">
      <c r="A50" t="s">
        <v>39</v>
      </c>
      <c r="B50" t="s">
        <v>54</v>
      </c>
      <c r="C50"/>
      <c r="D50"/>
      <c r="E50"/>
      <c r="F50"/>
      <c r="G50"/>
      <c r="H50"/>
      <c r="I50"/>
      <c r="J50"/>
    </row>
    <row r="51" spans="1:14" customFormat="1" ht="14.4" x14ac:dyDescent="0.3">
      <c r="B51" s="3" t="s">
        <v>64</v>
      </c>
      <c r="C51" s="2">
        <v>10</v>
      </c>
      <c r="D51" s="63" t="s">
        <v>10</v>
      </c>
      <c r="E51" s="50"/>
      <c r="F51" s="50" t="s">
        <v>40</v>
      </c>
      <c r="G51" s="2">
        <v>2</v>
      </c>
      <c r="H51" t="s">
        <v>94</v>
      </c>
    </row>
    <row r="52" spans="1:14" customFormat="1" ht="14.4" x14ac:dyDescent="0.3">
      <c r="B52" s="3" t="s">
        <v>53</v>
      </c>
      <c r="C52" s="59">
        <f>ROUNDDOWN(D6/(C51+1),0)</f>
        <v>9</v>
      </c>
      <c r="H52" s="4" t="s">
        <v>55</v>
      </c>
      <c r="I52" s="4"/>
      <c r="J52" s="4"/>
    </row>
    <row r="53" spans="1:14" customFormat="1" ht="14.4" x14ac:dyDescent="0.3">
      <c r="B53" s="3"/>
      <c r="C53" s="7"/>
      <c r="I53" s="4"/>
      <c r="J53" s="4"/>
      <c r="K53" s="4"/>
      <c r="L53" s="4"/>
      <c r="M53" s="4"/>
      <c r="N53" s="4"/>
    </row>
    <row r="54" spans="1:14" customFormat="1" ht="43.8" thickBot="1" x14ac:dyDescent="0.35">
      <c r="A54" s="65"/>
      <c r="B54" s="64" t="s">
        <v>48</v>
      </c>
      <c r="C54" s="64" t="s">
        <v>41</v>
      </c>
      <c r="D54" s="64" t="s">
        <v>0</v>
      </c>
      <c r="E54" s="64" t="s">
        <v>65</v>
      </c>
      <c r="F54" s="64" t="s">
        <v>1</v>
      </c>
      <c r="G54" s="64" t="s">
        <v>49</v>
      </c>
      <c r="H54" s="64" t="s">
        <v>63</v>
      </c>
      <c r="I54" s="67"/>
      <c r="J54" s="68"/>
      <c r="K54" s="4"/>
      <c r="L54" s="4"/>
      <c r="M54" s="4"/>
      <c r="N54" s="4"/>
    </row>
    <row r="55" spans="1:14" s="65" customFormat="1" ht="14.4" x14ac:dyDescent="0.3">
      <c r="A55" s="4"/>
      <c r="B55" s="32">
        <f>IF(B3="High Flow Q =",D42,IF(D42&lt;0.021,D42,"Error in Step 6"))</f>
        <v>2.4345399102669682E-2</v>
      </c>
      <c r="C55" s="5">
        <f>$C$51*(1-0.2*B55)</f>
        <v>9.9513092017946612</v>
      </c>
      <c r="D55" t="b">
        <f>C55&gt;=0.8*$C$51</f>
        <v>1</v>
      </c>
      <c r="E55" s="6">
        <f>1.6*(1-C55/$C$51)+1.08</f>
        <v>1.0877905277128543</v>
      </c>
      <c r="F55" t="b">
        <f>B55&lt;E55</f>
        <v>1</v>
      </c>
      <c r="G55" s="60">
        <f>3.33*C55*B55^1.5</f>
        <v>0.12587799066530161</v>
      </c>
      <c r="H55" s="81">
        <f>G55*C52</f>
        <v>1.1329019159877145</v>
      </c>
      <c r="I55" s="69" t="str">
        <f>IF(B3="High Flow Q =","At High Flow Q","At Qwq")</f>
        <v>At High Flow Q</v>
      </c>
      <c r="J55" s="70"/>
      <c r="L55" s="66"/>
    </row>
    <row r="56" spans="1:14" s="4" customFormat="1" ht="14.4" x14ac:dyDescent="0.3">
      <c r="B56" s="74">
        <f>IF(B3="High Flow Q =",G51/12-0.001,0.021)</f>
        <v>0.16566666666666666</v>
      </c>
      <c r="C56" s="5">
        <f>$C$51*(1-0.2*B56)</f>
        <v>9.6686666666666667</v>
      </c>
      <c r="D56" t="b">
        <f>C56&gt;=0.8*$C$51</f>
        <v>1</v>
      </c>
      <c r="E56" s="6">
        <f>1.6*(1-C56/$C$51)+1.08</f>
        <v>1.1330133333333334</v>
      </c>
      <c r="F56" t="b">
        <f>B56&lt;E56</f>
        <v>1</v>
      </c>
      <c r="G56" s="60">
        <f>3.33*C56*B56^1.5</f>
        <v>2.1710184909974917</v>
      </c>
      <c r="H56" s="81">
        <f>G56*C52</f>
        <v>19.539166418977423</v>
      </c>
      <c r="I56" s="7" t="str">
        <f>IF(B3="High Flow Q =","At a maximum head that is slightly smaller than the slot height","At maximum head of 0.021 feet")</f>
        <v>At a maximum head that is slightly smaller than the slot height</v>
      </c>
      <c r="J56" s="8"/>
      <c r="L56"/>
    </row>
    <row r="57" spans="1:14" s="4" customFormat="1" ht="14.4" x14ac:dyDescent="0.3">
      <c r="B57" s="8"/>
      <c r="C57" s="8"/>
      <c r="D57" s="9"/>
      <c r="F57" s="10"/>
      <c r="I57" s="7"/>
      <c r="J57" s="8"/>
      <c r="L57"/>
    </row>
    <row r="58" spans="1:14" s="4" customFormat="1" ht="14.4" x14ac:dyDescent="0.3">
      <c r="B58" s="8" t="s">
        <v>44</v>
      </c>
      <c r="C58" s="8"/>
      <c r="D58" s="9"/>
      <c r="F58" s="10"/>
      <c r="I58" s="7"/>
      <c r="J58" s="8"/>
      <c r="L58"/>
    </row>
    <row r="59" spans="1:14" s="4" customFormat="1" ht="14.4" x14ac:dyDescent="0.3">
      <c r="B59" s="8" t="s">
        <v>60</v>
      </c>
      <c r="C59" s="8"/>
      <c r="D59" s="9"/>
      <c r="F59" s="10"/>
      <c r="I59" s="7"/>
      <c r="J59" s="8"/>
      <c r="L59"/>
    </row>
    <row r="60" spans="1:14" s="4" customFormat="1" ht="14.4" x14ac:dyDescent="0.3">
      <c r="B60" s="8"/>
      <c r="C60" s="8"/>
      <c r="D60" s="9"/>
      <c r="F60" s="10"/>
      <c r="I60" s="7"/>
      <c r="J60" s="8"/>
      <c r="L60"/>
    </row>
    <row r="61" spans="1:14" s="4" customFormat="1" ht="14.4" x14ac:dyDescent="0.3">
      <c r="B61" s="85" t="str">
        <f>IF(B3="High Flow Q =",IF(H55&gt;D4,"HIGH FLOWS CAN BE PASSED BY NUMBER OF SLOTS CHOSEN - DESIGN IS ADEQUATE",IF(H56&gt;D4,"HIGH FLOWS CAN BE PASSED BY THE NUMBER OF SLOTS CHOSEN - DESIGN IS ADEQUATE","NEED TO REDESIGN TO ALLOW FOR PASSAGE OF HIGH FLOWS")),IF(H55&lt;D4,IF(H56&lt;D4,"NEED MORE SLOTS TO PASS INCOMING WATER QUALITY FLOWS","WATER QUALITY FLOWS CAN BE PASSED BY NUMBER OF SLOTS CHOSEN - DESIGN IS ADEQUATE"),"WATER QUALITY FLOWS CAN BE PASSED BY NUMBER OF SLOTS CHOSEN - DESIGN IS ADEQUATE"))</f>
        <v>HIGH FLOWS CAN BE PASSED BY NUMBER OF SLOTS CHOSEN - DESIGN IS ADEQUATE</v>
      </c>
      <c r="C61" s="85"/>
      <c r="D61" s="86"/>
      <c r="E61" s="87"/>
      <c r="F61" s="88"/>
      <c r="G61" s="87"/>
      <c r="H61" s="87"/>
      <c r="I61" s="89"/>
      <c r="J61" s="8"/>
      <c r="L61"/>
    </row>
    <row r="62" spans="1:14" s="4" customFormat="1" ht="14.4" x14ac:dyDescent="0.3">
      <c r="B62" s="8"/>
      <c r="C62" s="8"/>
      <c r="D62" s="9"/>
      <c r="F62" s="10"/>
      <c r="I62" s="7"/>
      <c r="J62" s="8"/>
      <c r="L62"/>
    </row>
    <row r="63" spans="1:14" s="4" customFormat="1" ht="14.4" x14ac:dyDescent="0.3">
      <c r="B63" s="8"/>
      <c r="C63" s="8"/>
      <c r="D63" s="9"/>
      <c r="F63" s="10"/>
      <c r="I63" s="7"/>
      <c r="J63" s="8"/>
      <c r="L63"/>
    </row>
    <row r="64" spans="1:14" ht="17.399999999999999" x14ac:dyDescent="0.3">
      <c r="B64" s="92" t="s">
        <v>95</v>
      </c>
      <c r="C64" s="93"/>
      <c r="D64" s="93"/>
      <c r="E64" s="93"/>
      <c r="F64" s="93"/>
      <c r="G64" s="94"/>
      <c r="H64" s="94"/>
      <c r="I64" s="93"/>
      <c r="J64" s="93"/>
      <c r="K64" s="93"/>
      <c r="L64" s="93"/>
      <c r="M64" s="93"/>
    </row>
    <row r="65" spans="1:10" x14ac:dyDescent="0.25">
      <c r="A65" s="15" t="s">
        <v>18</v>
      </c>
      <c r="B65" s="33" t="s">
        <v>59</v>
      </c>
      <c r="C65" s="33"/>
    </row>
    <row r="66" spans="1:10" x14ac:dyDescent="0.25">
      <c r="A66" s="15" t="s">
        <v>19</v>
      </c>
      <c r="B66" s="33" t="s">
        <v>84</v>
      </c>
      <c r="C66" s="33"/>
    </row>
    <row r="67" spans="1:10" x14ac:dyDescent="0.25">
      <c r="A67" s="15"/>
      <c r="B67" s="33" t="s">
        <v>83</v>
      </c>
      <c r="C67" s="33"/>
    </row>
    <row r="68" spans="1:10" x14ac:dyDescent="0.25">
      <c r="A68" s="15" t="s">
        <v>20</v>
      </c>
      <c r="B68" s="33" t="s">
        <v>86</v>
      </c>
      <c r="C68" s="33"/>
    </row>
    <row r="69" spans="1:10" x14ac:dyDescent="0.25">
      <c r="A69" s="15"/>
      <c r="B69" s="33" t="s">
        <v>85</v>
      </c>
      <c r="C69" s="33"/>
    </row>
    <row r="70" spans="1:10" x14ac:dyDescent="0.25">
      <c r="A70" s="15" t="s">
        <v>21</v>
      </c>
      <c r="B70" s="15" t="s">
        <v>22</v>
      </c>
      <c r="C70" s="15"/>
    </row>
    <row r="71" spans="1:10" x14ac:dyDescent="0.25">
      <c r="A71" s="33" t="s">
        <v>23</v>
      </c>
      <c r="B71" s="33" t="s">
        <v>24</v>
      </c>
      <c r="C71" s="33"/>
    </row>
    <row r="72" spans="1:10" x14ac:dyDescent="0.25">
      <c r="A72" s="33" t="s">
        <v>37</v>
      </c>
      <c r="B72" s="33" t="s">
        <v>88</v>
      </c>
      <c r="C72" s="33"/>
    </row>
    <row r="73" spans="1:10" x14ac:dyDescent="0.25">
      <c r="A73" s="33"/>
      <c r="B73" s="33" t="s">
        <v>87</v>
      </c>
      <c r="C73" s="33"/>
    </row>
    <row r="74" spans="1:10" x14ac:dyDescent="0.25">
      <c r="A74" s="33" t="s">
        <v>39</v>
      </c>
      <c r="B74" s="33" t="s">
        <v>90</v>
      </c>
      <c r="C74" s="33"/>
      <c r="I74" s="27"/>
      <c r="J74" s="27"/>
    </row>
    <row r="75" spans="1:10" s="27" customFormat="1" x14ac:dyDescent="0.25">
      <c r="B75" s="33" t="s">
        <v>89</v>
      </c>
      <c r="C75" s="15"/>
      <c r="D75" s="1"/>
      <c r="E75" s="1"/>
      <c r="F75" s="1"/>
      <c r="G75" s="1"/>
      <c r="H75" s="1"/>
    </row>
    <row r="76" spans="1:10" s="27" customFormat="1" x14ac:dyDescent="0.25">
      <c r="A76" s="1"/>
      <c r="B76" s="1" t="s">
        <v>96</v>
      </c>
      <c r="C76" s="15"/>
      <c r="D76" s="1"/>
      <c r="E76" s="1"/>
      <c r="F76" s="1"/>
      <c r="G76" s="1"/>
      <c r="H76" s="1"/>
      <c r="I76" s="1"/>
      <c r="J76" s="1"/>
    </row>
    <row r="77" spans="1:10" s="27" customFormat="1" x14ac:dyDescent="0.25">
      <c r="A77" s="33"/>
      <c r="B77" s="1"/>
      <c r="C77" s="33"/>
      <c r="D77" s="1"/>
      <c r="E77" s="1"/>
      <c r="F77" s="1"/>
      <c r="G77" s="1"/>
      <c r="H77" s="1"/>
      <c r="I77" s="1"/>
      <c r="J77" s="1"/>
    </row>
    <row r="78" spans="1:10" customFormat="1" ht="14.4" x14ac:dyDescent="0.3">
      <c r="A78" s="11"/>
      <c r="B78" s="5"/>
      <c r="C78" s="11"/>
      <c r="D78" s="5"/>
      <c r="F78" s="6"/>
      <c r="I78" s="5"/>
    </row>
    <row r="79" spans="1:10" customFormat="1" ht="14.4" x14ac:dyDescent="0.3">
      <c r="A79" s="11"/>
      <c r="B79" s="5"/>
      <c r="C79" s="11"/>
      <c r="D79" s="5"/>
      <c r="F79" s="6"/>
      <c r="I79" s="5"/>
    </row>
    <row r="80" spans="1:10" customFormat="1" ht="14.4" x14ac:dyDescent="0.3">
      <c r="A80" s="11"/>
      <c r="B80" s="5"/>
      <c r="C80" s="11"/>
      <c r="D80" s="5"/>
      <c r="F80" s="6"/>
      <c r="I80" s="5"/>
    </row>
    <row r="81" spans="1:15" customFormat="1" ht="14.4" x14ac:dyDescent="0.3">
      <c r="A81" s="11"/>
      <c r="B81" s="5"/>
      <c r="C81" s="11"/>
      <c r="D81" s="5"/>
      <c r="F81" s="6"/>
      <c r="I81" s="4"/>
      <c r="J81" s="4"/>
    </row>
    <row r="82" spans="1:15" customFormat="1" ht="14.4" x14ac:dyDescent="0.3">
      <c r="A82" s="11"/>
      <c r="B82" s="5"/>
      <c r="C82" s="11"/>
      <c r="D82" s="5"/>
      <c r="F82" s="6"/>
      <c r="I82" s="4"/>
      <c r="J82" s="4"/>
      <c r="K82" s="4"/>
      <c r="L82" s="4"/>
      <c r="M82" s="4"/>
      <c r="N82" s="4"/>
      <c r="O82" s="4"/>
    </row>
    <row r="83" spans="1:15" x14ac:dyDescent="0.25">
      <c r="G83" s="15"/>
      <c r="H83" s="15"/>
    </row>
    <row r="84" spans="1:15" customFormat="1" ht="14.4" x14ac:dyDescent="0.3">
      <c r="A84" s="11"/>
      <c r="B84" s="5"/>
      <c r="C84" s="11"/>
      <c r="D84" s="5"/>
      <c r="F84" s="6"/>
      <c r="I84" s="1"/>
      <c r="J84" s="1"/>
      <c r="K84" s="4"/>
      <c r="L84" s="4"/>
      <c r="M84" s="4"/>
      <c r="N84" s="4"/>
      <c r="O84" s="4"/>
    </row>
    <row r="85" spans="1:15" ht="14.4" x14ac:dyDescent="0.3">
      <c r="A85" s="11"/>
      <c r="B85" s="5"/>
      <c r="C85" s="11"/>
      <c r="D85" s="5"/>
      <c r="E85"/>
      <c r="F85" s="6"/>
      <c r="G85"/>
      <c r="H85"/>
    </row>
    <row r="86" spans="1:15" ht="14.4" x14ac:dyDescent="0.3">
      <c r="A86" s="12"/>
      <c r="B86" s="4"/>
      <c r="C86" s="12"/>
      <c r="D86" s="4"/>
      <c r="E86" s="4"/>
      <c r="F86" s="4"/>
      <c r="G86" s="4"/>
      <c r="H86" s="4"/>
    </row>
    <row r="87" spans="1:15" ht="14.4" x14ac:dyDescent="0.3">
      <c r="A87" s="12"/>
      <c r="B87" s="13"/>
      <c r="C87" s="12"/>
      <c r="D87" s="13"/>
      <c r="E87" s="14"/>
      <c r="F87" s="4"/>
      <c r="G87" s="4"/>
      <c r="H87" s="4"/>
    </row>
    <row r="88" spans="1:15" x14ac:dyDescent="0.25">
      <c r="G88" s="15"/>
      <c r="H88" s="15"/>
    </row>
    <row r="89" spans="1:15" x14ac:dyDescent="0.25">
      <c r="B89" s="15"/>
      <c r="C89" s="15"/>
    </row>
    <row r="90" spans="1:15" x14ac:dyDescent="0.25">
      <c r="B90" s="27"/>
      <c r="C90" s="31"/>
      <c r="D90" s="27"/>
      <c r="E90" s="27"/>
      <c r="F90" s="27"/>
      <c r="G90" s="27"/>
      <c r="H90" s="27"/>
    </row>
    <row r="91" spans="1:15" x14ac:dyDescent="0.25">
      <c r="B91" s="27"/>
      <c r="C91" s="31"/>
      <c r="D91" s="27"/>
      <c r="E91" s="27"/>
      <c r="F91" s="27"/>
      <c r="G91" s="27"/>
      <c r="H91" s="27"/>
    </row>
  </sheetData>
  <mergeCells count="2">
    <mergeCell ref="B3:C3"/>
    <mergeCell ref="B4:C4"/>
  </mergeCells>
  <dataValidations count="1">
    <dataValidation type="list" allowBlank="1" showErrorMessage="1" sqref="B3:C3">
      <formula1>"Water Quality Flow Qwq =,High Flow Q ="</formula1>
    </dataValidation>
  </dataValidations>
  <pageMargins left="0.25" right="0.25" top="0.25" bottom="0.5" header="0.05" footer="0.3"/>
  <pageSetup scale="62" fitToHeight="0" orientation="portrait" r:id="rId1"/>
  <headerFooter alignWithMargins="0">
    <oddFooter>&amp;L&amp;"-,Bold"WSDOT Slotted Pipe Flow Spreader Checker Version 1.0&amp;C&amp;D &amp;T&amp;R&amp;F 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5:B29"/>
  <sheetViews>
    <sheetView zoomScale="160" zoomScaleNormal="160" workbookViewId="0">
      <selection activeCell="K15" sqref="K15"/>
    </sheetView>
  </sheetViews>
  <sheetFormatPr defaultRowHeight="14.4" x14ac:dyDescent="0.3"/>
  <sheetData>
    <row r="25" spans="1:2" x14ac:dyDescent="0.3">
      <c r="B25" t="s">
        <v>30</v>
      </c>
    </row>
    <row r="29" spans="1:2" x14ac:dyDescent="0.3">
      <c r="A29" t="s">
        <v>42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7172" r:id="rId4">
          <objectPr defaultSize="0" autoPict="0" r:id="rId5">
            <anchor moveWithCells="1">
              <from>
                <xdr:col>0</xdr:col>
                <xdr:colOff>152400</xdr:colOff>
                <xdr:row>0</xdr:row>
                <xdr:rowOff>99060</xdr:rowOff>
              </from>
              <to>
                <xdr:col>10</xdr:col>
                <xdr:colOff>190500</xdr:colOff>
                <xdr:row>23</xdr:row>
                <xdr:rowOff>45720</xdr:rowOff>
              </to>
            </anchor>
          </objectPr>
        </oleObject>
      </mc:Choice>
      <mc:Fallback>
        <oleObject progId="AcroExch.Document.7" shapeId="7172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topLeftCell="A25" zoomScale="85" zoomScaleNormal="85" zoomScalePageLayoutView="85" workbookViewId="0">
      <selection activeCell="B57" sqref="B57"/>
    </sheetView>
  </sheetViews>
  <sheetFormatPr defaultColWidth="9.109375" defaultRowHeight="13.2" x14ac:dyDescent="0.25"/>
  <cols>
    <col min="1" max="1" width="13" style="1" customWidth="1"/>
    <col min="2" max="2" width="21.109375" style="1" customWidth="1"/>
    <col min="3" max="3" width="8.109375" style="1" customWidth="1"/>
    <col min="4" max="4" width="11.109375" style="1" customWidth="1"/>
    <col min="5" max="5" width="13.109375" style="1" customWidth="1"/>
    <col min="6" max="6" width="7.109375" style="1" customWidth="1"/>
    <col min="7" max="7" width="12.5546875" style="1" customWidth="1"/>
    <col min="8" max="8" width="9.44140625" style="1" customWidth="1"/>
    <col min="9" max="9" width="10.33203125" style="1" customWidth="1"/>
    <col min="10" max="10" width="8.88671875" style="1" customWidth="1"/>
    <col min="11" max="11" width="2.5546875" style="1" customWidth="1"/>
    <col min="12" max="12" width="4.109375" style="1" customWidth="1"/>
    <col min="13" max="13" width="4.33203125" style="1" customWidth="1"/>
    <col min="14" max="16384" width="9.109375" style="1"/>
  </cols>
  <sheetData>
    <row r="1" spans="1:14" ht="21" x14ac:dyDescent="0.4">
      <c r="B1" s="84" t="s">
        <v>76</v>
      </c>
    </row>
    <row r="2" spans="1:14" x14ac:dyDescent="0.25">
      <c r="B2" s="1" t="s">
        <v>66</v>
      </c>
    </row>
    <row r="3" spans="1:14" ht="14.4" x14ac:dyDescent="0.3">
      <c r="A3" s="1" t="s">
        <v>18</v>
      </c>
      <c r="B3" s="95" t="s">
        <v>56</v>
      </c>
      <c r="C3" s="96"/>
      <c r="D3" s="16">
        <v>9.1999999999999998E-2</v>
      </c>
      <c r="E3" s="15" t="s">
        <v>3</v>
      </c>
      <c r="F3" s="75" t="s">
        <v>58</v>
      </c>
    </row>
    <row r="4" spans="1:14" ht="14.4" x14ac:dyDescent="0.3">
      <c r="A4" s="1" t="s">
        <v>19</v>
      </c>
      <c r="B4" s="97" t="s">
        <v>4</v>
      </c>
      <c r="C4" s="98"/>
      <c r="D4" s="48">
        <v>2.3E-2</v>
      </c>
      <c r="E4" s="15" t="s">
        <v>3</v>
      </c>
      <c r="F4" s="75" t="s">
        <v>61</v>
      </c>
    </row>
    <row r="5" spans="1:14" x14ac:dyDescent="0.25">
      <c r="F5" s="75"/>
    </row>
    <row r="6" spans="1:14" x14ac:dyDescent="0.25">
      <c r="B6" s="15"/>
      <c r="C6" s="82" t="s">
        <v>5</v>
      </c>
      <c r="D6" s="16">
        <v>100</v>
      </c>
      <c r="E6" s="15" t="s">
        <v>6</v>
      </c>
      <c r="F6" s="75" t="s">
        <v>62</v>
      </c>
      <c r="G6" s="17"/>
      <c r="H6" s="17"/>
      <c r="K6" s="15"/>
    </row>
    <row r="7" spans="1:14" x14ac:dyDescent="0.25">
      <c r="B7" s="15"/>
      <c r="C7" s="82"/>
      <c r="E7" s="15"/>
      <c r="G7" s="17"/>
      <c r="H7" s="17"/>
      <c r="K7" s="15"/>
    </row>
    <row r="8" spans="1:14" x14ac:dyDescent="0.25">
      <c r="B8" s="15"/>
      <c r="F8" s="15"/>
      <c r="I8" s="17"/>
      <c r="L8" s="15"/>
    </row>
    <row r="10" spans="1:14" x14ac:dyDescent="0.25">
      <c r="B10" s="17" t="s">
        <v>7</v>
      </c>
      <c r="C10" s="52">
        <v>1.2E-2</v>
      </c>
      <c r="D10" s="19" t="s">
        <v>8</v>
      </c>
      <c r="E10" s="19"/>
      <c r="F10" s="82" t="s">
        <v>9</v>
      </c>
      <c r="G10" s="53">
        <v>1</v>
      </c>
      <c r="H10" s="71" t="s">
        <v>10</v>
      </c>
      <c r="I10" s="20"/>
    </row>
    <row r="11" spans="1:14" x14ac:dyDescent="0.25">
      <c r="B11" s="17"/>
      <c r="C11" s="18"/>
      <c r="D11" s="19"/>
      <c r="E11" s="19"/>
      <c r="F11" s="82"/>
      <c r="G11" s="18"/>
      <c r="H11" s="18"/>
      <c r="I11" s="20"/>
    </row>
    <row r="12" spans="1:14" x14ac:dyDescent="0.25">
      <c r="B12" s="75" t="s">
        <v>82</v>
      </c>
      <c r="M12" s="15"/>
      <c r="N12" s="33"/>
    </row>
    <row r="13" spans="1:14" x14ac:dyDescent="0.25">
      <c r="B13" s="21" t="s">
        <v>11</v>
      </c>
      <c r="C13" s="22" t="s">
        <v>12</v>
      </c>
      <c r="D13" s="22" t="s">
        <v>26</v>
      </c>
      <c r="E13" s="22" t="s">
        <v>67</v>
      </c>
      <c r="F13" s="22" t="s">
        <v>27</v>
      </c>
      <c r="G13" s="22" t="s">
        <v>13</v>
      </c>
      <c r="H13" s="22"/>
      <c r="I13" s="22" t="s">
        <v>14</v>
      </c>
      <c r="M13" s="15"/>
      <c r="N13" s="33"/>
    </row>
    <row r="14" spans="1:14" x14ac:dyDescent="0.25">
      <c r="B14" s="23">
        <v>180</v>
      </c>
      <c r="C14" s="24">
        <f>SIN((RADIANS(B14)))</f>
        <v>1.22514845490862E-16</v>
      </c>
      <c r="D14" s="25">
        <f>0.5*(((G10/2)^2)*((PI()*(B14/180))-(C14)))</f>
        <v>0.39269908169872414</v>
      </c>
      <c r="E14" s="25">
        <f>PI()*G10/2</f>
        <v>1.5707963267948966</v>
      </c>
      <c r="F14" s="24">
        <f>(D14)/E14</f>
        <v>0.25</v>
      </c>
      <c r="G14" s="78">
        <f>(1.49/C10)*D14*(F14)^(2/3)*(G16^0.5)</f>
        <v>2.3248985186818432E-2</v>
      </c>
      <c r="H14" s="24"/>
      <c r="I14" s="26">
        <f>G14/D14</f>
        <v>5.9203054629638485E-2</v>
      </c>
      <c r="M14" s="15"/>
      <c r="N14" s="33"/>
    </row>
    <row r="15" spans="1:14" x14ac:dyDescent="0.25">
      <c r="M15" s="15"/>
      <c r="N15" s="15"/>
    </row>
    <row r="16" spans="1:14" x14ac:dyDescent="0.25">
      <c r="A16" s="1" t="s">
        <v>20</v>
      </c>
      <c r="B16" s="27"/>
      <c r="C16" s="55"/>
      <c r="D16" s="27"/>
      <c r="E16" s="27"/>
      <c r="F16" s="83" t="s">
        <v>77</v>
      </c>
      <c r="G16" s="77">
        <v>1.4435267643753105E-6</v>
      </c>
      <c r="H16" s="31" t="str">
        <f>IF(B3="High Flow Q =","ft/ft       &lt;-----iterate this value until High Flow Q = Qsplit","ft/ft       &lt;-----iterate this value until Water Quality Flow Qwq = Qsplit")</f>
        <v>ft/ft       &lt;-----iterate this value until Water Quality Flow Qwq = Qsplit</v>
      </c>
      <c r="M16" s="33"/>
      <c r="N16" s="33"/>
    </row>
    <row r="17" spans="1:14" x14ac:dyDescent="0.25">
      <c r="I17" s="1" t="s">
        <v>15</v>
      </c>
      <c r="M17" s="33"/>
      <c r="N17" s="33"/>
    </row>
    <row r="18" spans="1:14" x14ac:dyDescent="0.25">
      <c r="D18" s="17"/>
      <c r="E18" s="17"/>
      <c r="H18" s="27"/>
      <c r="I18" s="27" t="s">
        <v>43</v>
      </c>
      <c r="K18" s="28"/>
      <c r="L18" s="27"/>
      <c r="M18" s="33"/>
      <c r="N18" s="33"/>
    </row>
    <row r="19" spans="1:14" x14ac:dyDescent="0.25">
      <c r="I19" s="29"/>
      <c r="J19" s="27"/>
      <c r="K19" s="27"/>
      <c r="L19" s="29"/>
      <c r="M19" s="27"/>
      <c r="N19" s="27"/>
    </row>
    <row r="20" spans="1:14" x14ac:dyDescent="0.25">
      <c r="B20" s="29"/>
      <c r="C20" s="54" t="s">
        <v>16</v>
      </c>
      <c r="D20" s="27"/>
      <c r="E20" s="28"/>
      <c r="G20" s="29"/>
      <c r="H20" s="29"/>
      <c r="I20" s="27"/>
      <c r="J20" s="27"/>
      <c r="K20" s="27"/>
      <c r="L20" s="27"/>
      <c r="M20" s="27"/>
    </row>
    <row r="21" spans="1:14" x14ac:dyDescent="0.25">
      <c r="A21" s="1" t="s">
        <v>21</v>
      </c>
      <c r="B21" s="27"/>
      <c r="C21" s="29" t="s">
        <v>17</v>
      </c>
      <c r="D21" s="79">
        <f>G16*D6</f>
        <v>1.4435267643753106E-4</v>
      </c>
      <c r="E21" s="27" t="s">
        <v>10</v>
      </c>
      <c r="F21" s="20"/>
      <c r="G21" s="29"/>
      <c r="H21" s="29"/>
      <c r="I21" s="30"/>
      <c r="J21" s="27"/>
      <c r="K21" s="27"/>
      <c r="L21" s="27"/>
      <c r="M21" s="27"/>
    </row>
    <row r="22" spans="1:14" x14ac:dyDescent="0.25">
      <c r="B22" s="27"/>
      <c r="C22" s="29"/>
      <c r="D22" s="27"/>
      <c r="E22" s="27"/>
      <c r="F22" s="15"/>
      <c r="G22" s="17"/>
      <c r="H22" s="17"/>
      <c r="I22" s="29"/>
      <c r="J22" s="30"/>
      <c r="K22" s="27"/>
      <c r="L22" s="27"/>
      <c r="M22" s="27"/>
      <c r="N22" s="27"/>
    </row>
    <row r="23" spans="1:14" x14ac:dyDescent="0.25">
      <c r="F23" s="15"/>
    </row>
    <row r="24" spans="1:14" x14ac:dyDescent="0.25">
      <c r="F24" s="15"/>
    </row>
    <row r="25" spans="1:14" x14ac:dyDescent="0.25">
      <c r="F25" s="15"/>
    </row>
    <row r="26" spans="1:14" x14ac:dyDescent="0.25">
      <c r="F26" s="15"/>
    </row>
    <row r="27" spans="1:14" s="38" customFormat="1" ht="26.4" x14ac:dyDescent="0.25">
      <c r="A27" s="38" t="s">
        <v>23</v>
      </c>
      <c r="B27" s="39" t="s">
        <v>25</v>
      </c>
      <c r="C27" s="39" t="s">
        <v>26</v>
      </c>
      <c r="D27" s="39" t="s">
        <v>27</v>
      </c>
      <c r="E27" s="39" t="s">
        <v>28</v>
      </c>
      <c r="F27" s="39" t="s">
        <v>14</v>
      </c>
      <c r="G27" s="39" t="s">
        <v>29</v>
      </c>
      <c r="H27" s="56"/>
      <c r="I27" s="56"/>
    </row>
    <row r="28" spans="1:14" x14ac:dyDescent="0.25">
      <c r="B28" s="34">
        <f>G10/2</f>
        <v>0.5</v>
      </c>
      <c r="C28" s="35">
        <f>PI()*B28^2</f>
        <v>0.78539816339744828</v>
      </c>
      <c r="D28" s="34">
        <f>C28/(2*PI()*B28)</f>
        <v>0.25</v>
      </c>
      <c r="E28" s="35">
        <f>(1.49/C10)*C28*D28^(2/3)*G16^(0.5)</f>
        <v>4.6497970373636864E-2</v>
      </c>
      <c r="F28" s="35">
        <f>E28/C28</f>
        <v>5.9203054629638485E-2</v>
      </c>
      <c r="G28" s="37">
        <f>G10</f>
        <v>1</v>
      </c>
      <c r="H28" s="37"/>
      <c r="I28" s="57"/>
    </row>
    <row r="29" spans="1:14" x14ac:dyDescent="0.25">
      <c r="B29" s="34"/>
      <c r="C29" s="35"/>
      <c r="D29" s="34"/>
      <c r="E29" s="35"/>
      <c r="F29" s="35"/>
      <c r="G29" s="37"/>
      <c r="H29" s="37"/>
      <c r="I29" s="36"/>
    </row>
    <row r="30" spans="1:14" x14ac:dyDescent="0.25">
      <c r="B30" s="44" t="s">
        <v>31</v>
      </c>
      <c r="C30" s="41">
        <v>5.0000000000000004E-6</v>
      </c>
      <c r="D30" s="42" t="s">
        <v>32</v>
      </c>
      <c r="E30" s="40"/>
      <c r="F30" s="42"/>
      <c r="G30" s="42"/>
      <c r="H30" s="42"/>
      <c r="I30" s="36"/>
    </row>
    <row r="31" spans="1:14" x14ac:dyDescent="0.25">
      <c r="B31" s="44" t="s">
        <v>33</v>
      </c>
      <c r="C31" s="41">
        <v>1.664E-5</v>
      </c>
      <c r="D31" s="42" t="s">
        <v>34</v>
      </c>
      <c r="E31" s="40"/>
      <c r="F31" s="42"/>
      <c r="G31" s="42"/>
      <c r="H31" s="42"/>
      <c r="I31" s="36"/>
    </row>
    <row r="32" spans="1:14" x14ac:dyDescent="0.25">
      <c r="B32" s="34"/>
      <c r="C32" s="35"/>
      <c r="D32" s="34"/>
      <c r="E32" s="35"/>
      <c r="F32" s="35"/>
      <c r="G32" s="37"/>
      <c r="H32" s="37"/>
      <c r="I32" s="36"/>
    </row>
    <row r="33" spans="1:13" x14ac:dyDescent="0.25">
      <c r="B33" s="43"/>
      <c r="C33" s="47" t="s">
        <v>35</v>
      </c>
      <c r="D33" s="46" t="s">
        <v>36</v>
      </c>
      <c r="E33" s="42"/>
      <c r="F33" s="17" t="s">
        <v>46</v>
      </c>
      <c r="G33" s="1">
        <f>C30/G28</f>
        <v>5.0000000000000004E-6</v>
      </c>
      <c r="H33" s="62" t="s">
        <v>51</v>
      </c>
      <c r="I33" s="36"/>
      <c r="M33" s="18"/>
    </row>
    <row r="34" spans="1:13" x14ac:dyDescent="0.25">
      <c r="B34" s="44"/>
      <c r="C34" s="43"/>
      <c r="D34" s="42"/>
      <c r="E34" s="44"/>
      <c r="F34" s="44" t="s">
        <v>50</v>
      </c>
      <c r="G34" s="72">
        <f>G28*F28/C31</f>
        <v>3557.875879185005</v>
      </c>
      <c r="H34" s="62" t="s">
        <v>52</v>
      </c>
      <c r="I34" s="36"/>
      <c r="J34" s="17"/>
    </row>
    <row r="35" spans="1:13" x14ac:dyDescent="0.25">
      <c r="B35" s="44"/>
      <c r="C35" s="43"/>
      <c r="D35" s="42"/>
      <c r="E35" s="42"/>
      <c r="F35" s="58"/>
      <c r="G35" s="49"/>
      <c r="H35" s="49"/>
      <c r="I35" s="36"/>
    </row>
    <row r="36" spans="1:13" x14ac:dyDescent="0.25">
      <c r="B36" s="44"/>
      <c r="C36" s="45"/>
      <c r="D36" s="43"/>
      <c r="E36" s="42"/>
      <c r="F36" s="58" t="s">
        <v>45</v>
      </c>
      <c r="G36" s="61">
        <v>4.2999999999999997E-2</v>
      </c>
      <c r="H36" s="1" t="s">
        <v>93</v>
      </c>
    </row>
    <row r="37" spans="1:13" x14ac:dyDescent="0.25">
      <c r="B37" s="44"/>
      <c r="C37" s="43"/>
      <c r="D37" s="43"/>
      <c r="E37" s="42"/>
      <c r="F37" s="42"/>
      <c r="H37" s="1" t="s">
        <v>92</v>
      </c>
    </row>
    <row r="38" spans="1:13" ht="15.6" x14ac:dyDescent="0.35">
      <c r="B38" s="44"/>
      <c r="C38" s="44" t="s">
        <v>47</v>
      </c>
      <c r="D38" s="80">
        <f>G36*D6*(F28^2)/(2*G28*32.2)</f>
        <v>2.3402961511123947E-4</v>
      </c>
      <c r="E38" s="43" t="s">
        <v>10</v>
      </c>
      <c r="F38" s="42"/>
      <c r="H38" s="1" t="s">
        <v>91</v>
      </c>
    </row>
    <row r="39" spans="1:13" x14ac:dyDescent="0.25">
      <c r="B39" s="44"/>
      <c r="C39" s="43"/>
      <c r="D39" s="43"/>
      <c r="E39" s="42"/>
      <c r="F39" s="42"/>
    </row>
    <row r="40" spans="1:13" x14ac:dyDescent="0.25">
      <c r="B40" s="44"/>
      <c r="C40" s="43"/>
      <c r="D40" s="43"/>
      <c r="E40" s="42"/>
      <c r="F40" s="42"/>
    </row>
    <row r="41" spans="1:13" x14ac:dyDescent="0.25">
      <c r="F41" s="15"/>
    </row>
    <row r="42" spans="1:13" x14ac:dyDescent="0.25">
      <c r="A42" s="1" t="s">
        <v>37</v>
      </c>
      <c r="B42" s="17"/>
      <c r="C42" s="17" t="s">
        <v>38</v>
      </c>
      <c r="D42" s="79">
        <f>D21+D38</f>
        <v>3.783822915487705E-4</v>
      </c>
      <c r="E42" s="1" t="s">
        <v>10</v>
      </c>
      <c r="F42" s="27" t="str">
        <f>IF(B3="High Flow Q =",IF(AND(G51/12&gt;D42,D42&gt;0.021),"Total headloss can be greater than 0.021 ft. but is less than slot height, this is OK for the high flow check",IF(D42&gt;=G51/12,"Total headloss is greater than slot height - need to reduce total headloss","Total headloss is less than 0.021 feet so design is adequate.")),IF(D42&lt;0.021,"Headloss is less than max of 0.021 feet, design is adequate","Headloss exceeds max of 0.021 feet, modify the design to reduce headloss"))</f>
        <v>Headloss is less than max of 0.021 feet, design is adequate</v>
      </c>
      <c r="G42" s="27"/>
      <c r="H42" s="27"/>
      <c r="I42" s="27"/>
      <c r="J42" s="27"/>
      <c r="K42" s="76"/>
    </row>
    <row r="43" spans="1:13" x14ac:dyDescent="0.25">
      <c r="B43" s="17"/>
      <c r="C43" s="17"/>
      <c r="K43" s="51"/>
    </row>
    <row r="44" spans="1:13" x14ac:dyDescent="0.25">
      <c r="F44" s="51"/>
      <c r="K44" s="51"/>
    </row>
    <row r="45" spans="1:13" x14ac:dyDescent="0.25">
      <c r="F45" s="51"/>
      <c r="K45" s="51"/>
    </row>
    <row r="46" spans="1:13" x14ac:dyDescent="0.25">
      <c r="F46" s="51"/>
      <c r="K46" s="51"/>
    </row>
    <row r="47" spans="1:13" x14ac:dyDescent="0.25">
      <c r="F47" s="51"/>
    </row>
    <row r="48" spans="1:13" x14ac:dyDescent="0.25">
      <c r="F48" s="51"/>
    </row>
    <row r="49" spans="1:14" x14ac:dyDescent="0.25">
      <c r="G49" s="15"/>
      <c r="H49" s="15"/>
    </row>
    <row r="50" spans="1:14" ht="14.4" x14ac:dyDescent="0.3">
      <c r="A50" t="s">
        <v>39</v>
      </c>
      <c r="B50" t="s">
        <v>54</v>
      </c>
      <c r="C50"/>
      <c r="D50"/>
      <c r="E50"/>
      <c r="F50"/>
      <c r="G50"/>
      <c r="H50"/>
      <c r="I50"/>
      <c r="J50"/>
    </row>
    <row r="51" spans="1:14" customFormat="1" ht="14.4" x14ac:dyDescent="0.3">
      <c r="B51" s="3" t="s">
        <v>64</v>
      </c>
      <c r="C51" s="2">
        <v>10</v>
      </c>
      <c r="D51" s="63" t="s">
        <v>10</v>
      </c>
      <c r="E51" s="50"/>
      <c r="F51" s="50" t="s">
        <v>40</v>
      </c>
      <c r="G51" s="2">
        <v>2</v>
      </c>
      <c r="H51" t="s">
        <v>94</v>
      </c>
    </row>
    <row r="52" spans="1:14" customFormat="1" ht="14.4" x14ac:dyDescent="0.3">
      <c r="B52" s="3" t="s">
        <v>53</v>
      </c>
      <c r="C52" s="59">
        <f>ROUNDDOWN(D6/(C51+1),0)</f>
        <v>9</v>
      </c>
      <c r="H52" s="4" t="s">
        <v>55</v>
      </c>
      <c r="I52" s="4"/>
      <c r="J52" s="4"/>
    </row>
    <row r="53" spans="1:14" customFormat="1" ht="14.4" x14ac:dyDescent="0.3">
      <c r="B53" s="3"/>
      <c r="C53" s="7"/>
      <c r="I53" s="4"/>
      <c r="J53" s="4"/>
      <c r="K53" s="4"/>
      <c r="L53" s="4"/>
      <c r="M53" s="4"/>
      <c r="N53" s="4"/>
    </row>
    <row r="54" spans="1:14" customFormat="1" ht="43.8" thickBot="1" x14ac:dyDescent="0.35">
      <c r="A54" s="65"/>
      <c r="B54" s="64" t="s">
        <v>48</v>
      </c>
      <c r="C54" s="64" t="s">
        <v>41</v>
      </c>
      <c r="D54" s="64" t="s">
        <v>0</v>
      </c>
      <c r="E54" s="64" t="s">
        <v>65</v>
      </c>
      <c r="F54" s="64" t="s">
        <v>1</v>
      </c>
      <c r="G54" s="64" t="s">
        <v>49</v>
      </c>
      <c r="H54" s="64" t="s">
        <v>63</v>
      </c>
      <c r="I54" s="67"/>
      <c r="J54" s="68"/>
      <c r="K54" s="4"/>
      <c r="L54" s="4"/>
      <c r="M54" s="4"/>
      <c r="N54" s="4"/>
    </row>
    <row r="55" spans="1:14" s="65" customFormat="1" ht="14.4" x14ac:dyDescent="0.3">
      <c r="A55" s="4"/>
      <c r="B55" s="32">
        <f>IF(B3="High Flow Q =",D42,IF(D42&lt;0.021,D42,"Error in Step 6"))</f>
        <v>3.783822915487705E-4</v>
      </c>
      <c r="C55" s="5">
        <f>$C$51*(1-0.2*B55)</f>
        <v>9.9992432354169019</v>
      </c>
      <c r="D55" t="b">
        <f>C55&gt;=0.8*$C$51</f>
        <v>1</v>
      </c>
      <c r="E55" s="6">
        <f>1.6*(1-C55/$C$51)+1.08</f>
        <v>1.0801210823332958</v>
      </c>
      <c r="F55" t="b">
        <f>B55&lt;E55</f>
        <v>1</v>
      </c>
      <c r="G55" s="60">
        <f>3.33*C55*B55^1.5</f>
        <v>2.4507983030664553E-4</v>
      </c>
      <c r="H55" s="81">
        <f>G55*C52</f>
        <v>2.2057184727598098E-3</v>
      </c>
      <c r="I55" s="69" t="str">
        <f>IF(B3="High Flow Q =","At High Flow Q","At Qwq")</f>
        <v>At Qwq</v>
      </c>
      <c r="J55" s="70"/>
      <c r="L55" s="66"/>
    </row>
    <row r="56" spans="1:14" s="4" customFormat="1" ht="14.4" x14ac:dyDescent="0.3">
      <c r="B56" s="74">
        <f>IF(B3="High Flow Q =",G51/12-0.001,0.021)</f>
        <v>2.1000000000000001E-2</v>
      </c>
      <c r="C56" s="5">
        <f>$C$51*(1-0.2*B56)</f>
        <v>9.9580000000000002</v>
      </c>
      <c r="D56" t="b">
        <f>C56&gt;=0.8*$C$51</f>
        <v>1</v>
      </c>
      <c r="E56" s="6">
        <f>1.6*(1-C56/$C$51)+1.08</f>
        <v>1.0867200000000001</v>
      </c>
      <c r="F56" t="b">
        <f>B56&lt;E56</f>
        <v>1</v>
      </c>
      <c r="G56" s="60">
        <f>3.33*C56*B56^1.5</f>
        <v>0.10091257715624116</v>
      </c>
      <c r="H56" s="81">
        <f>G56*C52</f>
        <v>0.90821319440617043</v>
      </c>
      <c r="I56" s="7" t="str">
        <f>IF(B3="High Flow Q =","At a maximum head that is slightly smaller than the slot height","At maximum head of 0.021 feet")</f>
        <v>At maximum head of 0.021 feet</v>
      </c>
      <c r="J56" s="8"/>
      <c r="L56"/>
    </row>
    <row r="57" spans="1:14" s="4" customFormat="1" ht="14.4" x14ac:dyDescent="0.3">
      <c r="B57" s="8"/>
      <c r="C57" s="8"/>
      <c r="D57" s="9"/>
      <c r="F57" s="10"/>
      <c r="I57" s="7"/>
      <c r="J57" s="8"/>
      <c r="L57"/>
    </row>
    <row r="58" spans="1:14" s="4" customFormat="1" ht="14.4" x14ac:dyDescent="0.3">
      <c r="B58" s="8" t="s">
        <v>44</v>
      </c>
      <c r="C58" s="8"/>
      <c r="D58" s="9"/>
      <c r="F58" s="10"/>
      <c r="I58" s="7"/>
      <c r="J58" s="8"/>
      <c r="L58"/>
    </row>
    <row r="59" spans="1:14" s="4" customFormat="1" ht="14.4" x14ac:dyDescent="0.3">
      <c r="B59" s="8" t="s">
        <v>60</v>
      </c>
      <c r="C59" s="8"/>
      <c r="D59" s="9"/>
      <c r="F59" s="10"/>
      <c r="I59" s="7"/>
      <c r="J59" s="8"/>
      <c r="L59"/>
    </row>
    <row r="60" spans="1:14" s="4" customFormat="1" ht="14.4" x14ac:dyDescent="0.3">
      <c r="B60" s="8"/>
      <c r="C60" s="8"/>
      <c r="D60" s="9"/>
      <c r="F60" s="10"/>
      <c r="I60" s="7"/>
      <c r="J60" s="8"/>
      <c r="L60"/>
    </row>
    <row r="61" spans="1:14" s="4" customFormat="1" ht="14.4" x14ac:dyDescent="0.3">
      <c r="B61" s="85" t="str">
        <f>IF(B3="High Flow Q =",IF(H55&gt;D4,"HIGH FLOWS CAN BE PASSED BY NUMBER OF SLOTS CHOSEN - DESIGN IS ADEQUATE",IF(H56&gt;D4,"HIGH FLOWS CAN BE PASSED BY THE NUMBER OF SLOTS CHOSEN - DESIGN IS ADEQUATE","NEED TO REDESIGN TO ALLOW FOR PASSAGE OF HIGH FLOWS")),IF(H55&lt;D4,IF(H56&lt;D4,"NEED MORE SLOTS TO PASS INCOMING WATER QUALITY FLOWS","WATER QUALITY FLOWS CAN BE PASSED BY NUMBER OF SLOTS CHOSEN - DESIGN IS ADEQUATE"),"WATER QUALITY FLOWS CAN BE PASSED BY NUMBER OF SLOTS CHOSEN - DESIGN IS ADEQUATE"))</f>
        <v>WATER QUALITY FLOWS CAN BE PASSED BY NUMBER OF SLOTS CHOSEN - DESIGN IS ADEQUATE</v>
      </c>
      <c r="C61" s="85"/>
      <c r="D61" s="86"/>
      <c r="E61" s="87"/>
      <c r="F61" s="88"/>
      <c r="G61" s="87"/>
      <c r="H61" s="87"/>
      <c r="I61" s="7"/>
      <c r="J61" s="8"/>
      <c r="L61"/>
    </row>
    <row r="62" spans="1:14" s="4" customFormat="1" ht="14.4" x14ac:dyDescent="0.3">
      <c r="B62" s="8"/>
      <c r="C62" s="8"/>
      <c r="D62" s="9"/>
      <c r="F62" s="10"/>
      <c r="I62" s="7"/>
      <c r="J62" s="8"/>
      <c r="L62"/>
    </row>
    <row r="63" spans="1:14" x14ac:dyDescent="0.25">
      <c r="G63" s="15"/>
      <c r="H63" s="15"/>
    </row>
    <row r="64" spans="1:14" x14ac:dyDescent="0.25">
      <c r="A64" s="15" t="s">
        <v>18</v>
      </c>
      <c r="B64" s="33" t="s">
        <v>59</v>
      </c>
      <c r="C64" s="33"/>
    </row>
    <row r="65" spans="1:10" x14ac:dyDescent="0.25">
      <c r="A65" s="15" t="s">
        <v>19</v>
      </c>
      <c r="B65" s="33" t="s">
        <v>84</v>
      </c>
      <c r="C65" s="33"/>
    </row>
    <row r="66" spans="1:10" x14ac:dyDescent="0.25">
      <c r="A66" s="15"/>
      <c r="B66" s="33" t="s">
        <v>83</v>
      </c>
      <c r="C66" s="33"/>
    </row>
    <row r="67" spans="1:10" x14ac:dyDescent="0.25">
      <c r="A67" s="15" t="s">
        <v>20</v>
      </c>
      <c r="B67" s="33" t="s">
        <v>86</v>
      </c>
      <c r="C67" s="33"/>
    </row>
    <row r="68" spans="1:10" x14ac:dyDescent="0.25">
      <c r="A68" s="15"/>
      <c r="B68" s="33" t="s">
        <v>85</v>
      </c>
      <c r="C68" s="33"/>
    </row>
    <row r="69" spans="1:10" x14ac:dyDescent="0.25">
      <c r="A69" s="15" t="s">
        <v>21</v>
      </c>
      <c r="B69" s="15" t="s">
        <v>22</v>
      </c>
      <c r="C69" s="15"/>
    </row>
    <row r="70" spans="1:10" x14ac:dyDescent="0.25">
      <c r="A70" s="33" t="s">
        <v>23</v>
      </c>
      <c r="B70" s="33" t="s">
        <v>24</v>
      </c>
      <c r="C70" s="33"/>
    </row>
    <row r="71" spans="1:10" x14ac:dyDescent="0.25">
      <c r="A71" s="33" t="s">
        <v>37</v>
      </c>
      <c r="B71" s="33" t="s">
        <v>88</v>
      </c>
      <c r="C71" s="33"/>
    </row>
    <row r="72" spans="1:10" x14ac:dyDescent="0.25">
      <c r="A72" s="33"/>
      <c r="B72" s="33" t="s">
        <v>87</v>
      </c>
      <c r="C72" s="33"/>
    </row>
    <row r="73" spans="1:10" x14ac:dyDescent="0.25">
      <c r="A73" s="33" t="s">
        <v>39</v>
      </c>
      <c r="B73" s="33" t="s">
        <v>90</v>
      </c>
      <c r="C73" s="33"/>
      <c r="I73" s="27"/>
      <c r="J73" s="27"/>
    </row>
    <row r="74" spans="1:10" s="27" customFormat="1" x14ac:dyDescent="0.25">
      <c r="B74" s="33" t="s">
        <v>89</v>
      </c>
      <c r="C74" s="15"/>
      <c r="D74" s="1"/>
      <c r="E74" s="1"/>
      <c r="F74" s="1"/>
      <c r="G74" s="1"/>
      <c r="H74" s="1"/>
    </row>
    <row r="75" spans="1:10" s="27" customFormat="1" x14ac:dyDescent="0.25">
      <c r="A75" s="1"/>
      <c r="B75" s="15"/>
      <c r="C75" s="15"/>
      <c r="D75" s="1"/>
      <c r="E75" s="1"/>
      <c r="F75" s="1"/>
      <c r="G75" s="1"/>
      <c r="H75" s="1"/>
      <c r="I75" s="1"/>
      <c r="J75" s="1"/>
    </row>
    <row r="76" spans="1:10" s="27" customFormat="1" x14ac:dyDescent="0.25">
      <c r="A76" s="33" t="s">
        <v>72</v>
      </c>
      <c r="B76" s="1"/>
      <c r="C76" s="33"/>
      <c r="D76" s="1"/>
      <c r="E76" s="1"/>
      <c r="F76" s="1"/>
      <c r="G76" s="1"/>
      <c r="H76" s="1"/>
      <c r="I76" s="1"/>
      <c r="J76" s="1"/>
    </row>
    <row r="77" spans="1:10" customFormat="1" ht="14.4" x14ac:dyDescent="0.3">
      <c r="A77" s="11" t="s">
        <v>68</v>
      </c>
      <c r="B77" s="5"/>
      <c r="C77" s="11"/>
      <c r="D77" s="5"/>
      <c r="F77" s="6"/>
      <c r="I77" s="5"/>
    </row>
    <row r="78" spans="1:10" customFormat="1" ht="14.4" x14ac:dyDescent="0.3">
      <c r="A78" s="11" t="s">
        <v>69</v>
      </c>
      <c r="B78" s="5"/>
      <c r="C78" s="11"/>
      <c r="D78" s="5"/>
      <c r="F78" s="6"/>
      <c r="I78" s="5"/>
    </row>
    <row r="79" spans="1:10" customFormat="1" ht="14.4" x14ac:dyDescent="0.3">
      <c r="A79" s="11" t="s">
        <v>78</v>
      </c>
      <c r="B79" s="5"/>
      <c r="C79" s="11"/>
      <c r="D79" s="5"/>
      <c r="F79" s="6"/>
      <c r="I79" s="5"/>
    </row>
    <row r="80" spans="1:10" customFormat="1" ht="14.4" x14ac:dyDescent="0.3">
      <c r="A80" s="11" t="s">
        <v>79</v>
      </c>
      <c r="B80" s="5"/>
      <c r="C80" s="11"/>
      <c r="D80" s="5"/>
      <c r="F80" s="6"/>
      <c r="I80" s="4"/>
      <c r="J80" s="4"/>
    </row>
    <row r="81" spans="1:15" customFormat="1" ht="14.4" x14ac:dyDescent="0.3">
      <c r="A81" s="11" t="s">
        <v>71</v>
      </c>
      <c r="B81" s="5"/>
      <c r="C81" s="11"/>
      <c r="D81" s="5"/>
      <c r="F81" s="6"/>
      <c r="I81" s="4"/>
      <c r="J81" s="4"/>
      <c r="K81" s="4"/>
      <c r="L81" s="4"/>
      <c r="M81" s="4"/>
      <c r="N81" s="4"/>
      <c r="O81" s="4"/>
    </row>
    <row r="82" spans="1:15" x14ac:dyDescent="0.25">
      <c r="G82" s="15"/>
      <c r="H82" s="15"/>
    </row>
    <row r="83" spans="1:15" customFormat="1" ht="14.4" x14ac:dyDescent="0.3">
      <c r="A83" s="11"/>
      <c r="B83" s="5"/>
      <c r="C83" s="11"/>
      <c r="D83" s="5"/>
      <c r="F83" s="6"/>
      <c r="I83" s="1"/>
      <c r="J83" s="1"/>
      <c r="K83" s="4"/>
      <c r="L83" s="4"/>
      <c r="M83" s="4"/>
      <c r="N83" s="4"/>
      <c r="O83" s="4"/>
    </row>
    <row r="84" spans="1:15" ht="14.4" x14ac:dyDescent="0.3">
      <c r="A84" s="11"/>
      <c r="B84" s="5"/>
      <c r="C84" s="11"/>
      <c r="D84" s="5"/>
      <c r="E84"/>
      <c r="F84" s="6"/>
      <c r="G84"/>
      <c r="H84"/>
    </row>
    <row r="85" spans="1:15" ht="14.4" x14ac:dyDescent="0.3">
      <c r="A85" s="12"/>
      <c r="B85" s="4"/>
      <c r="C85" s="12"/>
      <c r="D85" s="4"/>
      <c r="E85" s="4"/>
      <c r="F85" s="4"/>
      <c r="G85" s="4"/>
      <c r="H85" s="4"/>
    </row>
    <row r="86" spans="1:15" ht="14.4" x14ac:dyDescent="0.3">
      <c r="A86" s="12"/>
      <c r="B86" s="13"/>
      <c r="C86" s="12"/>
      <c r="D86" s="13"/>
      <c r="E86" s="14"/>
      <c r="F86" s="4"/>
      <c r="G86" s="4"/>
      <c r="H86" s="4"/>
    </row>
    <row r="87" spans="1:15" x14ac:dyDescent="0.25">
      <c r="G87" s="15"/>
      <c r="H87" s="15"/>
    </row>
    <row r="88" spans="1:15" x14ac:dyDescent="0.25">
      <c r="B88" s="15"/>
      <c r="C88" s="15"/>
    </row>
    <row r="89" spans="1:15" x14ac:dyDescent="0.25">
      <c r="B89" s="27"/>
      <c r="C89" s="31"/>
      <c r="D89" s="27"/>
      <c r="E89" s="27"/>
      <c r="F89" s="27"/>
      <c r="G89" s="27"/>
      <c r="H89" s="27"/>
    </row>
    <row r="90" spans="1:15" x14ac:dyDescent="0.25">
      <c r="B90" s="27"/>
      <c r="C90" s="31"/>
      <c r="D90" s="27"/>
      <c r="E90" s="27"/>
      <c r="F90" s="27"/>
      <c r="G90" s="27"/>
      <c r="H90" s="27"/>
    </row>
  </sheetData>
  <mergeCells count="2">
    <mergeCell ref="B3:C3"/>
    <mergeCell ref="B4:C4"/>
  </mergeCells>
  <dataValidations count="1">
    <dataValidation type="list" allowBlank="1" showErrorMessage="1" sqref="B3:C3">
      <formula1>"Water Quality Flow Qwq =,High Flow Q ="</formula1>
    </dataValidation>
  </dataValidations>
  <pageMargins left="0.25" right="0.25" top="0.25" bottom="0.5" header="0.05" footer="0.3"/>
  <pageSetup scale="71" orientation="portrait" r:id="rId1"/>
  <headerFooter alignWithMargins="0">
    <oddFooter>&amp;L&amp;"-,Bold"WSDOT Slotted Pipe Flow Spreader Checker Version 1.0&amp;C&amp;D&amp;R  &amp;A  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topLeftCell="A25" zoomScale="85" zoomScaleNormal="85" zoomScalePageLayoutView="85" workbookViewId="0">
      <selection activeCell="B56" sqref="B56"/>
    </sheetView>
  </sheetViews>
  <sheetFormatPr defaultColWidth="9.109375" defaultRowHeight="13.2" x14ac:dyDescent="0.25"/>
  <cols>
    <col min="1" max="1" width="13" style="1" customWidth="1"/>
    <col min="2" max="2" width="21.109375" style="1" customWidth="1"/>
    <col min="3" max="3" width="8.109375" style="1" customWidth="1"/>
    <col min="4" max="4" width="11.109375" style="1" customWidth="1"/>
    <col min="5" max="5" width="13.109375" style="1" customWidth="1"/>
    <col min="6" max="6" width="7.109375" style="1" customWidth="1"/>
    <col min="7" max="8" width="12.5546875" style="1" customWidth="1"/>
    <col min="9" max="9" width="9.33203125" style="1" customWidth="1"/>
    <col min="10" max="10" width="8.88671875" style="1" customWidth="1"/>
    <col min="11" max="11" width="2.5546875" style="1" customWidth="1"/>
    <col min="12" max="12" width="4.109375" style="1" customWidth="1"/>
    <col min="13" max="13" width="4.33203125" style="1" customWidth="1"/>
    <col min="14" max="16384" width="9.109375" style="1"/>
  </cols>
  <sheetData>
    <row r="1" spans="1:14" ht="21" x14ac:dyDescent="0.4">
      <c r="B1" s="84" t="s">
        <v>76</v>
      </c>
    </row>
    <row r="2" spans="1:14" x14ac:dyDescent="0.25">
      <c r="B2" s="1" t="s">
        <v>66</v>
      </c>
    </row>
    <row r="3" spans="1:14" ht="14.4" x14ac:dyDescent="0.3">
      <c r="A3" s="1" t="s">
        <v>18</v>
      </c>
      <c r="B3" s="95" t="s">
        <v>57</v>
      </c>
      <c r="C3" s="96"/>
      <c r="D3" s="16">
        <v>0.88400000000000001</v>
      </c>
      <c r="E3" s="15" t="s">
        <v>3</v>
      </c>
      <c r="F3" s="75" t="s">
        <v>74</v>
      </c>
    </row>
    <row r="4" spans="1:14" ht="14.4" x14ac:dyDescent="0.3">
      <c r="A4" s="1" t="s">
        <v>19</v>
      </c>
      <c r="B4" s="97" t="s">
        <v>4</v>
      </c>
      <c r="C4" s="98"/>
      <c r="D4" s="48">
        <f>D3/4</f>
        <v>0.221</v>
      </c>
      <c r="E4" s="15" t="s">
        <v>3</v>
      </c>
      <c r="F4" s="75" t="s">
        <v>61</v>
      </c>
    </row>
    <row r="5" spans="1:14" x14ac:dyDescent="0.25">
      <c r="F5" s="75"/>
    </row>
    <row r="6" spans="1:14" x14ac:dyDescent="0.25">
      <c r="B6" s="15"/>
      <c r="C6" s="82" t="s">
        <v>5</v>
      </c>
      <c r="D6" s="16">
        <v>100</v>
      </c>
      <c r="E6" s="15" t="s">
        <v>6</v>
      </c>
      <c r="F6" s="75" t="s">
        <v>62</v>
      </c>
      <c r="G6" s="17"/>
      <c r="H6" s="17"/>
      <c r="K6" s="15"/>
    </row>
    <row r="7" spans="1:14" x14ac:dyDescent="0.25">
      <c r="B7" s="15"/>
      <c r="C7" s="82"/>
      <c r="E7" s="15"/>
      <c r="G7" s="17"/>
      <c r="H7" s="17"/>
      <c r="K7" s="15"/>
    </row>
    <row r="8" spans="1:14" x14ac:dyDescent="0.25">
      <c r="B8" s="15"/>
      <c r="F8" s="15"/>
      <c r="I8" s="17"/>
      <c r="L8" s="15"/>
    </row>
    <row r="10" spans="1:14" x14ac:dyDescent="0.25">
      <c r="B10" s="17" t="s">
        <v>7</v>
      </c>
      <c r="C10" s="52">
        <v>1.2E-2</v>
      </c>
      <c r="D10" s="19" t="s">
        <v>8</v>
      </c>
      <c r="E10" s="19"/>
      <c r="F10" s="82" t="s">
        <v>9</v>
      </c>
      <c r="G10" s="53">
        <v>1</v>
      </c>
      <c r="H10" s="71" t="s">
        <v>10</v>
      </c>
      <c r="I10" s="20"/>
    </row>
    <row r="11" spans="1:14" x14ac:dyDescent="0.25">
      <c r="B11" s="17"/>
      <c r="C11" s="18"/>
      <c r="D11" s="19"/>
      <c r="E11" s="19"/>
      <c r="F11" s="82"/>
      <c r="G11" s="18"/>
      <c r="H11" s="18"/>
      <c r="I11" s="20"/>
    </row>
    <row r="12" spans="1:14" x14ac:dyDescent="0.25">
      <c r="B12" s="75" t="s">
        <v>82</v>
      </c>
      <c r="M12" s="15"/>
      <c r="N12" s="33"/>
    </row>
    <row r="13" spans="1:14" x14ac:dyDescent="0.25">
      <c r="B13" s="21" t="s">
        <v>11</v>
      </c>
      <c r="C13" s="22" t="s">
        <v>12</v>
      </c>
      <c r="D13" s="22" t="s">
        <v>26</v>
      </c>
      <c r="E13" s="22" t="s">
        <v>67</v>
      </c>
      <c r="F13" s="22" t="s">
        <v>27</v>
      </c>
      <c r="G13" s="22" t="s">
        <v>13</v>
      </c>
      <c r="H13" s="22"/>
      <c r="I13" s="22" t="s">
        <v>14</v>
      </c>
      <c r="M13" s="15"/>
      <c r="N13" s="33"/>
    </row>
    <row r="14" spans="1:14" x14ac:dyDescent="0.25">
      <c r="B14" s="23">
        <v>180</v>
      </c>
      <c r="C14" s="24">
        <f>SIN((RADIANS(B14)))</f>
        <v>1.22514845490862E-16</v>
      </c>
      <c r="D14" s="25">
        <f>0.5*(((G10/2)^2)*((PI()*(B14/180))-(C14)))</f>
        <v>0.39269908169872414</v>
      </c>
      <c r="E14" s="25">
        <f>PI()*G10/2</f>
        <v>1.5707963267948966</v>
      </c>
      <c r="F14" s="24">
        <f>(D14)/E14</f>
        <v>0.25</v>
      </c>
      <c r="G14" s="78">
        <f>(1.49/C10)*D14*(F14)^(2/3)*(G16^0.5)</f>
        <v>0.22095703868371322</v>
      </c>
      <c r="H14" s="24"/>
      <c r="I14" s="26">
        <f>G14/D14</f>
        <v>0.56266247867936148</v>
      </c>
      <c r="M14" s="15"/>
      <c r="N14" s="33"/>
    </row>
    <row r="15" spans="1:14" x14ac:dyDescent="0.25">
      <c r="M15" s="15"/>
      <c r="N15" s="15"/>
    </row>
    <row r="16" spans="1:14" x14ac:dyDescent="0.25">
      <c r="A16" s="1" t="s">
        <v>20</v>
      </c>
      <c r="B16" s="27"/>
      <c r="C16" s="55"/>
      <c r="D16" s="27"/>
      <c r="E16" s="27"/>
      <c r="F16" s="83" t="s">
        <v>77</v>
      </c>
      <c r="G16" s="77">
        <v>1.3038646784326724E-4</v>
      </c>
      <c r="H16" s="31" t="str">
        <f>IF(B3="High Flow Q =","ft/ft       &lt;-----iterate this value until High Flow Q = Qsplit","ft/ft       &lt;-----iterate this value until Water Quality Flow Qwq = Qsplit")</f>
        <v>ft/ft       &lt;-----iterate this value until High Flow Q = Qsplit</v>
      </c>
      <c r="M16" s="33"/>
      <c r="N16" s="33"/>
    </row>
    <row r="17" spans="1:14" x14ac:dyDescent="0.25">
      <c r="I17" s="1" t="s">
        <v>15</v>
      </c>
      <c r="M17" s="33"/>
      <c r="N17" s="33"/>
    </row>
    <row r="18" spans="1:14" x14ac:dyDescent="0.25">
      <c r="D18" s="17"/>
      <c r="E18" s="17"/>
      <c r="H18" s="27"/>
      <c r="I18" s="27" t="s">
        <v>43</v>
      </c>
      <c r="K18" s="28"/>
      <c r="L18" s="27"/>
      <c r="M18" s="33"/>
      <c r="N18" s="33"/>
    </row>
    <row r="19" spans="1:14" x14ac:dyDescent="0.25">
      <c r="I19" s="29"/>
      <c r="J19" s="27"/>
      <c r="K19" s="27"/>
      <c r="L19" s="29"/>
      <c r="M19" s="27"/>
      <c r="N19" s="27"/>
    </row>
    <row r="20" spans="1:14" x14ac:dyDescent="0.25">
      <c r="B20" s="29"/>
      <c r="C20" s="54" t="s">
        <v>16</v>
      </c>
      <c r="D20" s="27"/>
      <c r="E20" s="28"/>
      <c r="G20" s="29"/>
      <c r="H20" s="29"/>
      <c r="I20" s="27"/>
      <c r="J20" s="27"/>
      <c r="K20" s="27"/>
      <c r="L20" s="27"/>
      <c r="M20" s="27"/>
    </row>
    <row r="21" spans="1:14" x14ac:dyDescent="0.25">
      <c r="A21" s="1" t="s">
        <v>21</v>
      </c>
      <c r="B21" s="27"/>
      <c r="C21" s="29" t="s">
        <v>17</v>
      </c>
      <c r="D21" s="79">
        <f>G16*D6</f>
        <v>1.3038646784326724E-2</v>
      </c>
      <c r="E21" s="27" t="s">
        <v>10</v>
      </c>
      <c r="F21" s="20"/>
      <c r="G21" s="29"/>
      <c r="H21" s="29"/>
      <c r="I21" s="30"/>
      <c r="J21" s="27"/>
      <c r="K21" s="27"/>
      <c r="L21" s="27"/>
      <c r="M21" s="27"/>
    </row>
    <row r="22" spans="1:14" x14ac:dyDescent="0.25">
      <c r="B22" s="27"/>
      <c r="C22" s="29"/>
      <c r="D22" s="27"/>
      <c r="E22" s="27"/>
      <c r="F22" s="15"/>
      <c r="G22" s="17"/>
      <c r="H22" s="17"/>
      <c r="I22" s="29"/>
      <c r="J22" s="30"/>
      <c r="K22" s="27"/>
      <c r="L22" s="27"/>
      <c r="M22" s="27"/>
      <c r="N22" s="27"/>
    </row>
    <row r="23" spans="1:14" x14ac:dyDescent="0.25">
      <c r="F23" s="15"/>
    </row>
    <row r="24" spans="1:14" x14ac:dyDescent="0.25">
      <c r="F24" s="15"/>
    </row>
    <row r="25" spans="1:14" x14ac:dyDescent="0.25">
      <c r="F25" s="15"/>
    </row>
    <row r="26" spans="1:14" x14ac:dyDescent="0.25">
      <c r="F26" s="15"/>
    </row>
    <row r="27" spans="1:14" s="38" customFormat="1" ht="26.4" x14ac:dyDescent="0.25">
      <c r="A27" s="38" t="s">
        <v>23</v>
      </c>
      <c r="B27" s="39" t="s">
        <v>25</v>
      </c>
      <c r="C27" s="39" t="s">
        <v>26</v>
      </c>
      <c r="D27" s="39" t="s">
        <v>27</v>
      </c>
      <c r="E27" s="39" t="s">
        <v>28</v>
      </c>
      <c r="F27" s="39" t="s">
        <v>14</v>
      </c>
      <c r="G27" s="39" t="s">
        <v>29</v>
      </c>
      <c r="H27" s="56"/>
      <c r="I27" s="56"/>
    </row>
    <row r="28" spans="1:14" x14ac:dyDescent="0.25">
      <c r="B28" s="34">
        <f>G10/2</f>
        <v>0.5</v>
      </c>
      <c r="C28" s="35">
        <f>PI()*B28^2</f>
        <v>0.78539816339744828</v>
      </c>
      <c r="D28" s="34">
        <f>C28/(2*PI()*B28)</f>
        <v>0.25</v>
      </c>
      <c r="E28" s="35">
        <f>(1.49/C10)*C28*D28^(2/3)*G16^(0.5)</f>
        <v>0.44191407736742644</v>
      </c>
      <c r="F28" s="35">
        <f>E28/C28</f>
        <v>0.56266247867936148</v>
      </c>
      <c r="G28" s="37">
        <f>G10</f>
        <v>1</v>
      </c>
      <c r="H28" s="37"/>
      <c r="I28" s="57"/>
    </row>
    <row r="29" spans="1:14" x14ac:dyDescent="0.25">
      <c r="B29" s="34"/>
      <c r="C29" s="35"/>
      <c r="D29" s="34"/>
      <c r="E29" s="35"/>
      <c r="F29" s="35"/>
      <c r="G29" s="37"/>
      <c r="H29" s="37"/>
      <c r="I29" s="36"/>
    </row>
    <row r="30" spans="1:14" x14ac:dyDescent="0.25">
      <c r="B30" s="44" t="s">
        <v>31</v>
      </c>
      <c r="C30" s="41">
        <v>5.0000000000000004E-6</v>
      </c>
      <c r="D30" s="42" t="s">
        <v>32</v>
      </c>
      <c r="E30" s="40"/>
      <c r="F30" s="42"/>
      <c r="G30" s="42"/>
      <c r="H30" s="42"/>
      <c r="I30" s="36"/>
    </row>
    <row r="31" spans="1:14" x14ac:dyDescent="0.25">
      <c r="B31" s="44" t="s">
        <v>33</v>
      </c>
      <c r="C31" s="41">
        <v>1.664E-5</v>
      </c>
      <c r="D31" s="42" t="s">
        <v>34</v>
      </c>
      <c r="E31" s="40"/>
      <c r="F31" s="42"/>
      <c r="G31" s="42"/>
      <c r="H31" s="42"/>
      <c r="I31" s="36"/>
    </row>
    <row r="32" spans="1:14" x14ac:dyDescent="0.25">
      <c r="B32" s="34"/>
      <c r="C32" s="35"/>
      <c r="D32" s="34"/>
      <c r="E32" s="35"/>
      <c r="F32" s="35"/>
      <c r="G32" s="37"/>
      <c r="H32" s="37"/>
      <c r="I32" s="36"/>
    </row>
    <row r="33" spans="1:13" x14ac:dyDescent="0.25">
      <c r="B33" s="43"/>
      <c r="C33" s="47" t="s">
        <v>35</v>
      </c>
      <c r="D33" s="46" t="s">
        <v>36</v>
      </c>
      <c r="E33" s="42"/>
      <c r="F33" s="17" t="s">
        <v>46</v>
      </c>
      <c r="G33" s="1">
        <f>C30/G28</f>
        <v>5.0000000000000004E-6</v>
      </c>
      <c r="H33" s="62" t="s">
        <v>51</v>
      </c>
      <c r="I33" s="36"/>
      <c r="M33" s="18"/>
    </row>
    <row r="34" spans="1:13" x14ac:dyDescent="0.25">
      <c r="B34" s="44"/>
      <c r="C34" s="43"/>
      <c r="D34" s="42"/>
      <c r="E34" s="44"/>
      <c r="F34" s="44" t="s">
        <v>50</v>
      </c>
      <c r="G34" s="72">
        <f>G28*F28/C31</f>
        <v>33813.850882173167</v>
      </c>
      <c r="H34" s="62" t="s">
        <v>52</v>
      </c>
      <c r="I34" s="36"/>
      <c r="J34" s="17"/>
    </row>
    <row r="35" spans="1:13" x14ac:dyDescent="0.25">
      <c r="B35" s="44"/>
      <c r="C35" s="43"/>
      <c r="D35" s="42"/>
      <c r="E35" s="42"/>
      <c r="F35" s="58"/>
      <c r="G35" s="49"/>
      <c r="H35" s="49"/>
      <c r="I35" s="36"/>
    </row>
    <row r="36" spans="1:13" x14ac:dyDescent="0.25">
      <c r="B36" s="44"/>
      <c r="C36" s="45"/>
      <c r="D36" s="43"/>
      <c r="E36" s="42"/>
      <c r="F36" s="58" t="s">
        <v>45</v>
      </c>
      <c r="G36" s="61">
        <v>2.3E-2</v>
      </c>
      <c r="H36" s="1" t="s">
        <v>93</v>
      </c>
    </row>
    <row r="37" spans="1:13" x14ac:dyDescent="0.25">
      <c r="B37" s="44"/>
      <c r="C37" s="43"/>
      <c r="D37" s="43"/>
      <c r="E37" s="42"/>
      <c r="F37" s="42"/>
      <c r="H37" s="1" t="s">
        <v>92</v>
      </c>
    </row>
    <row r="38" spans="1:13" ht="15.6" x14ac:dyDescent="0.35">
      <c r="B38" s="44"/>
      <c r="C38" s="44" t="s">
        <v>47</v>
      </c>
      <c r="D38" s="80">
        <f>G36*D6*(F28^2)/(2*G28*32.2)</f>
        <v>1.1306752318342959E-2</v>
      </c>
      <c r="E38" s="43" t="s">
        <v>10</v>
      </c>
      <c r="F38" s="42"/>
      <c r="H38" s="1" t="s">
        <v>91</v>
      </c>
    </row>
    <row r="39" spans="1:13" x14ac:dyDescent="0.25">
      <c r="B39" s="44"/>
      <c r="C39" s="43"/>
      <c r="D39" s="43"/>
      <c r="E39" s="42"/>
      <c r="F39" s="42"/>
    </row>
    <row r="40" spans="1:13" x14ac:dyDescent="0.25">
      <c r="B40" s="44"/>
      <c r="C40" s="43"/>
      <c r="D40" s="43"/>
      <c r="E40" s="42"/>
      <c r="F40" s="42"/>
    </row>
    <row r="41" spans="1:13" x14ac:dyDescent="0.25">
      <c r="F41" s="15"/>
    </row>
    <row r="42" spans="1:13" x14ac:dyDescent="0.25">
      <c r="A42" s="1" t="s">
        <v>37</v>
      </c>
      <c r="B42" s="17"/>
      <c r="C42" s="17" t="s">
        <v>38</v>
      </c>
      <c r="D42" s="79">
        <f>D21+D38</f>
        <v>2.4345399102669682E-2</v>
      </c>
      <c r="E42" s="1" t="s">
        <v>10</v>
      </c>
      <c r="F42" s="27" t="str">
        <f>IF(B3="High Flow Q =",IF(AND(G51/12&gt;D42,D42&gt;0.021),"Total headloss can be greater than 0.021 ft. but is less than slot height, this is OK for the high flow check",IF(D42&gt;=G51/12,"Total headloss is greater than slot height - need to reduce total headloss","Total headloss is less than 0.021 feet so design is adequate.")),IF(D42&lt;0.021,"Headloss is less than max of 0.021 feet, design is adequate","Headloss exceeds max of 0.021 feet, modify the design to reduce headloss"))</f>
        <v>Total headloss can be greater than 0.021 ft. but is less than slot height, this is OK for the high flow check</v>
      </c>
      <c r="G42" s="27"/>
      <c r="H42" s="27"/>
      <c r="I42" s="27"/>
      <c r="J42" s="27"/>
      <c r="K42" s="76"/>
    </row>
    <row r="43" spans="1:13" x14ac:dyDescent="0.25">
      <c r="B43" s="17"/>
      <c r="C43" s="17"/>
      <c r="K43" s="51"/>
    </row>
    <row r="44" spans="1:13" x14ac:dyDescent="0.25">
      <c r="F44" s="51"/>
      <c r="K44" s="51"/>
    </row>
    <row r="45" spans="1:13" x14ac:dyDescent="0.25">
      <c r="F45" s="51"/>
      <c r="K45" s="51"/>
    </row>
    <row r="46" spans="1:13" x14ac:dyDescent="0.25">
      <c r="F46" s="51"/>
      <c r="K46" s="51"/>
    </row>
    <row r="47" spans="1:13" x14ac:dyDescent="0.25">
      <c r="F47" s="51"/>
    </row>
    <row r="48" spans="1:13" x14ac:dyDescent="0.25">
      <c r="F48" s="51"/>
    </row>
    <row r="49" spans="1:14" x14ac:dyDescent="0.25">
      <c r="G49" s="15"/>
      <c r="H49" s="15"/>
    </row>
    <row r="50" spans="1:14" ht="14.4" x14ac:dyDescent="0.3">
      <c r="A50" t="s">
        <v>39</v>
      </c>
      <c r="B50" t="s">
        <v>54</v>
      </c>
      <c r="C50"/>
      <c r="D50"/>
      <c r="E50"/>
      <c r="F50"/>
      <c r="G50"/>
      <c r="H50"/>
      <c r="I50"/>
      <c r="J50"/>
    </row>
    <row r="51" spans="1:14" customFormat="1" ht="14.4" x14ac:dyDescent="0.3">
      <c r="B51" s="3" t="s">
        <v>64</v>
      </c>
      <c r="C51" s="2">
        <v>10</v>
      </c>
      <c r="D51" s="63" t="s">
        <v>10</v>
      </c>
      <c r="E51" s="50"/>
      <c r="F51" s="50" t="s">
        <v>40</v>
      </c>
      <c r="G51" s="2">
        <v>2</v>
      </c>
      <c r="H51" t="s">
        <v>94</v>
      </c>
    </row>
    <row r="52" spans="1:14" customFormat="1" ht="14.4" x14ac:dyDescent="0.3">
      <c r="B52" s="3" t="s">
        <v>53</v>
      </c>
      <c r="C52" s="59">
        <f>ROUNDDOWN(D6/(C51+1),0)</f>
        <v>9</v>
      </c>
      <c r="H52" s="4" t="s">
        <v>55</v>
      </c>
      <c r="I52" s="4"/>
      <c r="J52" s="4"/>
    </row>
    <row r="53" spans="1:14" customFormat="1" ht="14.4" x14ac:dyDescent="0.3">
      <c r="B53" s="3"/>
      <c r="C53" s="7"/>
      <c r="I53" s="4"/>
      <c r="J53" s="4"/>
      <c r="K53" s="4"/>
      <c r="L53" s="4"/>
      <c r="M53" s="4"/>
      <c r="N53" s="4"/>
    </row>
    <row r="54" spans="1:14" customFormat="1" ht="43.8" thickBot="1" x14ac:dyDescent="0.35">
      <c r="A54" s="65"/>
      <c r="B54" s="64" t="s">
        <v>48</v>
      </c>
      <c r="C54" s="64" t="s">
        <v>41</v>
      </c>
      <c r="D54" s="64" t="s">
        <v>0</v>
      </c>
      <c r="E54" s="64" t="s">
        <v>65</v>
      </c>
      <c r="F54" s="64" t="s">
        <v>1</v>
      </c>
      <c r="G54" s="64" t="s">
        <v>49</v>
      </c>
      <c r="H54" s="64" t="s">
        <v>63</v>
      </c>
      <c r="I54" s="67"/>
      <c r="J54" s="68"/>
      <c r="K54" s="4"/>
      <c r="L54" s="4"/>
      <c r="M54" s="4"/>
      <c r="N54" s="4"/>
    </row>
    <row r="55" spans="1:14" s="65" customFormat="1" ht="14.4" x14ac:dyDescent="0.3">
      <c r="A55" s="4"/>
      <c r="B55" s="32">
        <f>IF(B3="High Flow Q =",D42,IF(D42&lt;0.021,D42,"Error in Step 6"))</f>
        <v>2.4345399102669682E-2</v>
      </c>
      <c r="C55" s="5">
        <f>$C$51*(1-0.2*B55)</f>
        <v>9.9513092017946612</v>
      </c>
      <c r="D55" t="b">
        <f>C55&gt;=0.8*$C$51</f>
        <v>1</v>
      </c>
      <c r="E55" s="6">
        <f>1.6*(1-C55/$C$51)+1.08</f>
        <v>1.0877905277128543</v>
      </c>
      <c r="F55" t="b">
        <f>B55&lt;E55</f>
        <v>1</v>
      </c>
      <c r="G55" s="60">
        <f>3.33*C55*B55^1.5</f>
        <v>0.12587799066530161</v>
      </c>
      <c r="H55" s="81">
        <f>G55*C52</f>
        <v>1.1329019159877145</v>
      </c>
      <c r="I55" s="69" t="str">
        <f>IF(B3="High Flow Q =","At High Flow Q","At Qwq")</f>
        <v>At High Flow Q</v>
      </c>
      <c r="J55" s="70"/>
      <c r="L55" s="66"/>
    </row>
    <row r="56" spans="1:14" s="4" customFormat="1" ht="14.4" x14ac:dyDescent="0.3">
      <c r="B56" s="74">
        <f>IF(B3="High Flow Q =",G51/12-0.001,0.021)</f>
        <v>0.16566666666666666</v>
      </c>
      <c r="C56" s="5">
        <f>$C$51*(1-0.2*B56)</f>
        <v>9.6686666666666667</v>
      </c>
      <c r="D56" t="b">
        <f>C56&gt;=0.8*$C$51</f>
        <v>1</v>
      </c>
      <c r="E56" s="6">
        <f>1.6*(1-C56/$C$51)+1.08</f>
        <v>1.1330133333333334</v>
      </c>
      <c r="F56" t="b">
        <f>B56&lt;E56</f>
        <v>1</v>
      </c>
      <c r="G56" s="60">
        <f>3.33*C56*B56^1.5</f>
        <v>2.1710184909974917</v>
      </c>
      <c r="H56" s="81">
        <f>G56*C52</f>
        <v>19.539166418977423</v>
      </c>
      <c r="I56" s="7" t="str">
        <f>IF(B3="High Flow Q =","At a maximum head that is slightly smaller than the slot height","At maximum head of 0.021 feet")</f>
        <v>At a maximum head that is slightly smaller than the slot height</v>
      </c>
      <c r="J56" s="8"/>
      <c r="L56"/>
    </row>
    <row r="57" spans="1:14" s="4" customFormat="1" ht="14.4" x14ac:dyDescent="0.3">
      <c r="B57" s="8"/>
      <c r="C57" s="8"/>
      <c r="D57" s="9"/>
      <c r="F57" s="10"/>
      <c r="I57" s="7"/>
      <c r="J57" s="8"/>
      <c r="L57"/>
    </row>
    <row r="58" spans="1:14" s="4" customFormat="1" ht="14.4" x14ac:dyDescent="0.3">
      <c r="B58" s="8" t="s">
        <v>44</v>
      </c>
      <c r="C58" s="8"/>
      <c r="D58" s="9"/>
      <c r="F58" s="10"/>
      <c r="I58" s="7"/>
      <c r="J58" s="8"/>
      <c r="L58"/>
    </row>
    <row r="59" spans="1:14" s="4" customFormat="1" ht="14.4" x14ac:dyDescent="0.3">
      <c r="B59" s="8" t="s">
        <v>60</v>
      </c>
      <c r="C59" s="8"/>
      <c r="D59" s="9"/>
      <c r="F59" s="10"/>
      <c r="I59" s="7"/>
      <c r="J59" s="8"/>
      <c r="L59"/>
    </row>
    <row r="60" spans="1:14" s="4" customFormat="1" ht="14.4" x14ac:dyDescent="0.3">
      <c r="B60" s="8"/>
      <c r="C60" s="8"/>
      <c r="D60" s="9"/>
      <c r="F60" s="10"/>
      <c r="I60" s="7"/>
      <c r="J60" s="8"/>
      <c r="L60"/>
    </row>
    <row r="61" spans="1:14" s="4" customFormat="1" ht="14.4" x14ac:dyDescent="0.3">
      <c r="B61" s="85" t="str">
        <f>IF(B3="High Flow Q =",IF(H55&gt;D4,"HIGH FLOWS CAN BE PASSED BY NUMBER OF SLOTS CHOSEN - DESIGN IS ADEQUATE",IF(H56&gt;D4,"HIGH FLOWS CAN BE PASSED BY THE NUMBER OF SLOTS CHOSEN - DESIGN IS ADEQUATE","NEED TO REDESIGN TO ALLOW FOR PASSAGE OF HIGH FLOWS")),IF(H55&lt;D4,IF(H56&lt;D4,"NEED MORE SLOTS TO PASS INCOMING WATER QUALITY FLOWS","WATER QUALITY FLOWS CAN BE PASSED BY NUMBER OF SLOTS CHOSEN - DESIGN IS ADEQUATE"),"WATER QUALITY FLOWS CAN BE PASSED BY NUMBER OF SLOTS CHOSEN - DESIGN IS ADEQUATE"))</f>
        <v>HIGH FLOWS CAN BE PASSED BY NUMBER OF SLOTS CHOSEN - DESIGN IS ADEQUATE</v>
      </c>
      <c r="C61" s="85"/>
      <c r="D61" s="86"/>
      <c r="E61" s="87"/>
      <c r="F61" s="88"/>
      <c r="G61" s="87"/>
      <c r="H61" s="87"/>
      <c r="I61" s="89"/>
      <c r="J61" s="8"/>
      <c r="L61"/>
    </row>
    <row r="62" spans="1:14" s="4" customFormat="1" ht="14.4" x14ac:dyDescent="0.3">
      <c r="B62" s="8"/>
      <c r="C62" s="8"/>
      <c r="D62" s="9"/>
      <c r="F62" s="10"/>
      <c r="I62" s="7"/>
      <c r="J62" s="8"/>
      <c r="L62"/>
    </row>
    <row r="63" spans="1:14" x14ac:dyDescent="0.25">
      <c r="G63" s="15"/>
      <c r="H63" s="15"/>
    </row>
    <row r="64" spans="1:14" x14ac:dyDescent="0.25">
      <c r="A64" s="15" t="s">
        <v>18</v>
      </c>
      <c r="B64" s="33" t="s">
        <v>59</v>
      </c>
      <c r="C64" s="33"/>
    </row>
    <row r="65" spans="1:15" x14ac:dyDescent="0.25">
      <c r="A65" s="15" t="s">
        <v>19</v>
      </c>
      <c r="B65" s="33" t="s">
        <v>84</v>
      </c>
      <c r="C65" s="33"/>
    </row>
    <row r="66" spans="1:15" x14ac:dyDescent="0.25">
      <c r="A66" s="15"/>
      <c r="B66" s="33" t="s">
        <v>83</v>
      </c>
      <c r="C66" s="33"/>
    </row>
    <row r="67" spans="1:15" x14ac:dyDescent="0.25">
      <c r="A67" s="15" t="s">
        <v>20</v>
      </c>
      <c r="B67" s="33" t="s">
        <v>86</v>
      </c>
      <c r="C67" s="33"/>
    </row>
    <row r="68" spans="1:15" x14ac:dyDescent="0.25">
      <c r="A68" s="15"/>
      <c r="B68" s="33" t="s">
        <v>85</v>
      </c>
      <c r="C68" s="33"/>
    </row>
    <row r="69" spans="1:15" x14ac:dyDescent="0.25">
      <c r="A69" s="15" t="s">
        <v>21</v>
      </c>
      <c r="B69" s="15" t="s">
        <v>22</v>
      </c>
      <c r="C69" s="15"/>
    </row>
    <row r="70" spans="1:15" x14ac:dyDescent="0.25">
      <c r="A70" s="33" t="s">
        <v>23</v>
      </c>
      <c r="B70" s="33" t="s">
        <v>24</v>
      </c>
      <c r="C70" s="33"/>
    </row>
    <row r="71" spans="1:15" x14ac:dyDescent="0.25">
      <c r="A71" s="33" t="s">
        <v>37</v>
      </c>
      <c r="B71" s="33" t="s">
        <v>88</v>
      </c>
      <c r="C71" s="33"/>
    </row>
    <row r="72" spans="1:15" x14ac:dyDescent="0.25">
      <c r="A72" s="33"/>
      <c r="B72" s="33" t="s">
        <v>87</v>
      </c>
      <c r="C72" s="33"/>
    </row>
    <row r="73" spans="1:15" x14ac:dyDescent="0.25">
      <c r="A73" s="33" t="s">
        <v>39</v>
      </c>
      <c r="B73" s="33" t="s">
        <v>90</v>
      </c>
      <c r="C73" s="33"/>
      <c r="I73" s="27"/>
      <c r="J73" s="27"/>
    </row>
    <row r="74" spans="1:15" s="27" customFormat="1" x14ac:dyDescent="0.25">
      <c r="B74" s="33" t="s">
        <v>89</v>
      </c>
      <c r="C74" s="15"/>
      <c r="D74" s="1"/>
      <c r="E74" s="1"/>
      <c r="F74" s="1"/>
      <c r="G74" s="1"/>
      <c r="H74" s="1"/>
    </row>
    <row r="75" spans="1:15" s="27" customFormat="1" x14ac:dyDescent="0.25">
      <c r="A75" s="1"/>
      <c r="B75" s="15"/>
      <c r="C75" s="15"/>
      <c r="D75" s="1"/>
      <c r="E75" s="1"/>
      <c r="F75" s="1"/>
      <c r="G75" s="1"/>
      <c r="H75" s="1"/>
      <c r="I75" s="1"/>
      <c r="J75" s="1"/>
    </row>
    <row r="76" spans="1:15" customFormat="1" ht="14.4" x14ac:dyDescent="0.3">
      <c r="A76" s="11" t="s">
        <v>2</v>
      </c>
      <c r="B76" s="5"/>
      <c r="C76" s="11"/>
      <c r="D76" s="5"/>
      <c r="F76" s="6"/>
      <c r="I76" s="1"/>
      <c r="J76" s="1"/>
      <c r="K76" s="4"/>
      <c r="L76" s="4"/>
      <c r="M76" s="4"/>
      <c r="N76" s="4"/>
      <c r="O76" s="4"/>
    </row>
    <row r="77" spans="1:15" ht="14.4" x14ac:dyDescent="0.3">
      <c r="A77" s="11" t="s">
        <v>75</v>
      </c>
      <c r="B77" s="5"/>
      <c r="C77" s="11"/>
      <c r="D77" s="5"/>
      <c r="E77"/>
      <c r="F77" s="6"/>
      <c r="G77"/>
      <c r="H77"/>
    </row>
    <row r="78" spans="1:15" ht="14.4" x14ac:dyDescent="0.3">
      <c r="A78" s="12" t="s">
        <v>70</v>
      </c>
      <c r="B78" s="4"/>
      <c r="C78" s="12"/>
      <c r="D78" s="4"/>
      <c r="E78" s="4"/>
      <c r="F78" s="4"/>
      <c r="G78" s="4"/>
      <c r="H78" s="4"/>
    </row>
    <row r="79" spans="1:15" ht="14.4" x14ac:dyDescent="0.3">
      <c r="A79" s="12" t="s">
        <v>73</v>
      </c>
      <c r="B79" s="13"/>
      <c r="C79" s="12"/>
      <c r="D79" s="13"/>
      <c r="E79" s="14"/>
      <c r="F79" s="4"/>
      <c r="G79" s="4"/>
      <c r="H79" s="4"/>
    </row>
    <row r="80" spans="1:15" x14ac:dyDescent="0.25">
      <c r="A80" s="1" t="s">
        <v>71</v>
      </c>
      <c r="G80" s="15"/>
      <c r="H80" s="15"/>
    </row>
    <row r="81" spans="1:15" customFormat="1" ht="14.4" x14ac:dyDescent="0.3">
      <c r="A81" s="11"/>
      <c r="B81" s="5"/>
      <c r="C81" s="11"/>
      <c r="D81" s="5"/>
      <c r="F81" s="6"/>
      <c r="I81" s="4"/>
      <c r="J81" s="4"/>
      <c r="K81" s="4"/>
      <c r="L81" s="4"/>
      <c r="M81" s="4"/>
      <c r="N81" s="4"/>
      <c r="O81" s="4"/>
    </row>
    <row r="82" spans="1:15" x14ac:dyDescent="0.25">
      <c r="G82" s="15"/>
      <c r="H82" s="15"/>
    </row>
    <row r="83" spans="1:15" customFormat="1" ht="14.4" x14ac:dyDescent="0.3">
      <c r="A83" s="11"/>
      <c r="B83" s="5"/>
      <c r="C83" s="11"/>
      <c r="D83" s="5"/>
      <c r="F83" s="6"/>
      <c r="I83" s="1"/>
      <c r="J83" s="1"/>
      <c r="K83" s="4"/>
      <c r="L83" s="4"/>
      <c r="M83" s="4"/>
      <c r="N83" s="4"/>
      <c r="O83" s="4"/>
    </row>
    <row r="84" spans="1:15" ht="14.4" x14ac:dyDescent="0.3">
      <c r="A84" s="11"/>
      <c r="B84" s="5"/>
      <c r="C84" s="11"/>
      <c r="D84" s="5"/>
      <c r="E84"/>
      <c r="F84" s="6"/>
      <c r="G84"/>
      <c r="H84"/>
    </row>
    <row r="85" spans="1:15" ht="14.4" x14ac:dyDescent="0.3">
      <c r="A85" s="12"/>
      <c r="B85" s="4"/>
      <c r="C85" s="12"/>
      <c r="D85" s="4"/>
      <c r="E85" s="4"/>
      <c r="F85" s="4"/>
      <c r="G85" s="4"/>
      <c r="H85" s="4"/>
    </row>
    <row r="86" spans="1:15" ht="14.4" x14ac:dyDescent="0.3">
      <c r="A86" s="12"/>
      <c r="B86" s="13"/>
      <c r="C86" s="12"/>
      <c r="D86" s="13"/>
      <c r="E86" s="14"/>
      <c r="F86" s="4"/>
      <c r="G86" s="4"/>
      <c r="H86" s="4"/>
    </row>
    <row r="87" spans="1:15" x14ac:dyDescent="0.25">
      <c r="G87" s="15"/>
      <c r="H87" s="15"/>
    </row>
    <row r="88" spans="1:15" x14ac:dyDescent="0.25">
      <c r="B88" s="15"/>
      <c r="C88" s="15"/>
    </row>
    <row r="89" spans="1:15" x14ac:dyDescent="0.25">
      <c r="B89" s="27"/>
      <c r="C89" s="31"/>
      <c r="D89" s="27"/>
      <c r="E89" s="27"/>
      <c r="F89" s="27"/>
      <c r="G89" s="27"/>
      <c r="H89" s="27"/>
    </row>
    <row r="90" spans="1:15" x14ac:dyDescent="0.25">
      <c r="B90" s="27"/>
      <c r="C90" s="31"/>
      <c r="D90" s="27"/>
      <c r="E90" s="27"/>
      <c r="F90" s="27"/>
      <c r="G90" s="27"/>
      <c r="H90" s="27"/>
    </row>
  </sheetData>
  <mergeCells count="2">
    <mergeCell ref="B3:C3"/>
    <mergeCell ref="B4:C4"/>
  </mergeCells>
  <dataValidations count="1">
    <dataValidation type="list" allowBlank="1" showErrorMessage="1" sqref="B3:C3">
      <formula1>"Water Quality Flow Qwq =,High Flow Q ="</formula1>
    </dataValidation>
  </dataValidations>
  <pageMargins left="0.25" right="0.25" top="0.25" bottom="0.5" header="0.05" footer="0.3"/>
  <pageSetup scale="62" fitToHeight="0" orientation="portrait" r:id="rId1"/>
  <headerFooter alignWithMargins="0">
    <oddFooter>&amp;L&amp;"-,Bold"WSDOT Slotted Pipe Flow Spreader Checker Version 1.0&amp;C&amp;D&amp;R&amp;A  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Qwq Template</vt:lpstr>
      <vt:lpstr>High Q Template</vt:lpstr>
      <vt:lpstr>Moody Diagram and Equations</vt:lpstr>
      <vt:lpstr>Qwq Example</vt:lpstr>
      <vt:lpstr>High Q Example</vt:lpstr>
      <vt:lpstr>'High Q Example'!Print_Area</vt:lpstr>
      <vt:lpstr>'High Q Template'!Print_Area</vt:lpstr>
      <vt:lpstr>'Qwq Example'!Print_Area</vt:lpstr>
    </vt:vector>
  </TitlesOfParts>
  <Company>WSDOT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Slotted pipe flow spreader design </dc:title>
  <dc:subject>Slotted pipe flow spreader design </dc:subject>
  <dc:creator>WSDOT Highway Runoff</dc:creator>
  <cp:lastModifiedBy>willisr</cp:lastModifiedBy>
  <cp:lastPrinted>2013-12-04T22:50:33Z</cp:lastPrinted>
  <dcterms:created xsi:type="dcterms:W3CDTF">2013-07-31T22:27:59Z</dcterms:created>
  <dcterms:modified xsi:type="dcterms:W3CDTF">2019-12-05T21:38:53Z</dcterms:modified>
</cp:coreProperties>
</file>