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https://wsdot-my.sharepoint.com/personal/willisr_wsdot_wa_gov/Documents/Desktop/"/>
    </mc:Choice>
  </mc:AlternateContent>
  <xr:revisionPtr revIDLastSave="2" documentId="14_{28560293-76C5-4A44-A175-F75DF1435CED}" xr6:coauthVersionLast="47" xr6:coauthVersionMax="47" xr10:uidLastSave="{8614AD07-9AC4-46F8-8A8C-F875432ECE00}"/>
  <bookViews>
    <workbookView xWindow="-120" yWindow="-120" windowWidth="29040" windowHeight="15840" tabRatio="875" firstSheet="12" activeTab="12" xr2:uid="{00000000-000D-0000-FFFF-FFFF00000000}"/>
  </bookViews>
  <sheets>
    <sheet name="Template_Notes" sheetId="11" state="hidden" r:id="rId1"/>
    <sheet name="Geotech_Data" sheetId="16" state="hidden" r:id="rId2"/>
    <sheet name="Coversheet" sheetId="1" state="hidden" r:id="rId3"/>
    <sheet name="CS Type LChR" sheetId="13" state="hidden" r:id="rId4"/>
    <sheet name="VCS (Live-Bed)" sheetId="21" state="hidden" r:id="rId5"/>
    <sheet name="VCS (Clear-Water)" sheetId="19" state="hidden" r:id="rId6"/>
    <sheet name="VCS (Live-Bed Overtopping)" sheetId="22" state="hidden" r:id="rId7"/>
    <sheet name="Abutment Froelich" sheetId="23" state="hidden" r:id="rId8"/>
    <sheet name="Abutment HIRE" sheetId="2" state="hidden" r:id="rId9"/>
    <sheet name="Abutment NCHRP (Live-Bed)" sheetId="26" state="hidden" r:id="rId10"/>
    <sheet name="Abutment NCHRP (Clear-Water)" sheetId="29" state="hidden" r:id="rId11"/>
    <sheet name="SMS Output" sheetId="32" state="hidden" r:id="rId12"/>
    <sheet name="Bend Scour" sheetId="41" r:id="rId13"/>
    <sheet name="Pier Scour" sheetId="3" state="hidden" r:id="rId14"/>
    <sheet name="Complex Pier Scour PC Case 1" sheetId="4" state="hidden" r:id="rId15"/>
    <sheet name="Pier K2" sheetId="7" state="hidden" r:id="rId16"/>
    <sheet name="Wall Scour EQ 4.3" sheetId="17" state="hidden" r:id="rId17"/>
    <sheet name="Wall Scour EQ 4.4" sheetId="18" state="hidden" r:id="rId18"/>
  </sheets>
  <externalReferences>
    <externalReference r:id="rId19"/>
  </externalReferences>
  <definedNames>
    <definedName name="Checker">#REF!</definedName>
    <definedName name="CheckerDate">#REF!</definedName>
    <definedName name="ComputedBY">#REF!</definedName>
    <definedName name="ComputedDate">#REF!</definedName>
    <definedName name="criticalq">'[1]Long Term Degradation'!$C$24</definedName>
    <definedName name="Dfifty">#REF!</definedName>
    <definedName name="Dninety">'[1]Long Term Degradation'!$C$21</definedName>
    <definedName name="Flows">#REF!</definedName>
    <definedName name="Kcoeff">'[1]Long Term Degradation'!$C$19</definedName>
    <definedName name="manning">'[1]Long Term Degradation'!$C$25</definedName>
    <definedName name="Plan">#REF!</definedName>
    <definedName name="_xlnm.Print_Area" localSheetId="7">'Abutment Froelich'!$A$1:$J$107</definedName>
    <definedName name="_xlnm.Print_Area" localSheetId="8">'Abutment HIRE'!$A$1:$J$106</definedName>
    <definedName name="_xlnm.Print_Area" localSheetId="10">'Abutment NCHRP (Clear-Water)'!$A$1:$J$60</definedName>
    <definedName name="_xlnm.Print_Area" localSheetId="9">'Abutment NCHRP (Live-Bed)'!$A$1:$J$56</definedName>
    <definedName name="_xlnm.Print_Area" localSheetId="12">'Bend Scour'!$A$1:$K$68</definedName>
    <definedName name="_xlnm.Print_Area" localSheetId="14">'Complex Pier Scour PC Case 1'!$A$1:$J$146</definedName>
    <definedName name="_xlnm.Print_Area" localSheetId="2">Coversheet!$A$1:$J$44</definedName>
    <definedName name="_xlnm.Print_Area" localSheetId="3">'CS Type LChR'!$A$1:$J$49</definedName>
    <definedName name="_xlnm.Print_Area" localSheetId="13">'Pier Scour'!$A$1:$J$103</definedName>
    <definedName name="_xlnm.Print_Area" localSheetId="5">'VCS (Clear-Water)'!$A$1:$K$83</definedName>
    <definedName name="_xlnm.Print_Area" localSheetId="6">'VCS (Live-Bed Overtopping)'!$A$1:$K$107</definedName>
    <definedName name="_xlnm.Print_Area" localSheetId="4">'VCS (Live-Bed)'!$A$1:$K$99</definedName>
    <definedName name="_xlnm.Print_Titles" localSheetId="7">'Abutment Froelich'!$5:$5</definedName>
    <definedName name="_xlnm.Print_Titles" localSheetId="8">'Abutment HIRE'!$5:$5</definedName>
    <definedName name="_xlnm.Print_Titles" localSheetId="10">'Abutment NCHRP (Clear-Water)'!$5:$5</definedName>
    <definedName name="_xlnm.Print_Titles" localSheetId="9">'Abutment NCHRP (Live-Bed)'!$5:$5</definedName>
    <definedName name="_xlnm.Print_Titles" localSheetId="14">'Complex Pier Scour PC Case 1'!$5:$5</definedName>
    <definedName name="_xlnm.Print_Titles" localSheetId="13">'Pier Scour'!#REF!</definedName>
    <definedName name="_xlnm.Print_Titles" localSheetId="5">'VCS (Clear-Water)'!#REF!</definedName>
    <definedName name="_xlnm.Print_Titles" localSheetId="6">'VCS (Live-Bed Overtopping)'!#REF!</definedName>
    <definedName name="_xlnm.Print_Titles" localSheetId="4">'VCS (Live-Bed)'!#REF!</definedName>
    <definedName name="Profile">#REF!</definedName>
    <definedName name="Project">#REF!</definedName>
    <definedName name="River">#REF!</definedName>
    <definedName name="scourcondit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4" i="41" l="1"/>
  <c r="C54" i="41" l="1"/>
  <c r="C60" i="41" s="1"/>
  <c r="D54" i="41"/>
  <c r="D60" i="41" s="1"/>
  <c r="E54" i="41"/>
  <c r="E60" i="41" s="1"/>
  <c r="C53" i="41"/>
  <c r="C57" i="41" s="1"/>
  <c r="D53" i="41"/>
  <c r="D57" i="41" s="1"/>
  <c r="E53" i="41"/>
  <c r="E57" i="41" s="1"/>
  <c r="B53" i="41"/>
  <c r="B57" i="41" s="1"/>
  <c r="E61" i="41" l="1"/>
  <c r="E58" i="41"/>
  <c r="D61" i="41"/>
  <c r="D58" i="41"/>
  <c r="C61" i="41"/>
  <c r="C58" i="41"/>
  <c r="C63" i="41" l="1"/>
  <c r="C68" i="41" s="1"/>
  <c r="D63" i="41"/>
  <c r="D68" i="41" s="1"/>
  <c r="E63" i="41"/>
  <c r="E68" i="41" s="1"/>
  <c r="B60" i="41"/>
  <c r="E65" i="41" l="1"/>
  <c r="D65" i="41"/>
  <c r="C65" i="41"/>
  <c r="B61" i="41"/>
  <c r="B58" i="41"/>
  <c r="B63" i="41" l="1"/>
  <c r="B68" i="41" s="1"/>
  <c r="B39" i="26"/>
  <c r="B38" i="26"/>
  <c r="B65" i="41" l="1"/>
  <c r="D47" i="26"/>
  <c r="D53" i="26" s="1"/>
  <c r="D54" i="26" s="1"/>
  <c r="E47" i="26"/>
  <c r="E53" i="26" s="1"/>
  <c r="E54" i="26" s="1"/>
  <c r="D51" i="29"/>
  <c r="D57" i="29" s="1"/>
  <c r="D58" i="29" s="1"/>
  <c r="E51" i="29"/>
  <c r="E57" i="29" s="1"/>
  <c r="E58" i="29" s="1"/>
  <c r="B43" i="29"/>
  <c r="B42" i="29"/>
  <c r="B37" i="29"/>
  <c r="B36" i="29"/>
  <c r="A34" i="29"/>
  <c r="B33" i="26"/>
  <c r="B32" i="26"/>
  <c r="J2" i="26"/>
  <c r="J2" i="29"/>
  <c r="J1" i="26"/>
  <c r="J1" i="29"/>
  <c r="H2" i="26"/>
  <c r="H2" i="29"/>
  <c r="H1" i="26"/>
  <c r="H1" i="29"/>
  <c r="D1" i="26"/>
  <c r="D1" i="29"/>
  <c r="C51" i="29" l="1"/>
  <c r="C57" i="29" s="1"/>
  <c r="C58" i="29" s="1"/>
  <c r="B51" i="29"/>
  <c r="B57" i="29" s="1"/>
  <c r="B58" i="29" s="1"/>
  <c r="B47" i="26"/>
  <c r="B53" i="26" s="1"/>
  <c r="B54" i="26" s="1"/>
  <c r="C47" i="26"/>
  <c r="C53" i="26" s="1"/>
  <c r="C54" i="26" s="1"/>
  <c r="B97" i="23" l="1"/>
  <c r="C95" i="2"/>
  <c r="B95" i="2"/>
  <c r="C93" i="2"/>
  <c r="B93" i="2"/>
  <c r="C97" i="23"/>
  <c r="C93" i="23"/>
  <c r="C107" i="23" s="1"/>
  <c r="B93" i="23"/>
  <c r="C72" i="23"/>
  <c r="B72" i="23"/>
  <c r="C68" i="23"/>
  <c r="C82" i="23" s="1"/>
  <c r="B68" i="23"/>
  <c r="B82" i="23" s="1"/>
  <c r="C104" i="2" l="1"/>
  <c r="B104" i="2"/>
  <c r="B107" i="23"/>
  <c r="C46" i="19"/>
  <c r="C75" i="21"/>
  <c r="C75" i="22"/>
  <c r="D75" i="22"/>
  <c r="D79" i="22" s="1"/>
  <c r="B75" i="22"/>
  <c r="B79" i="22" s="1"/>
  <c r="D87" i="22"/>
  <c r="B87" i="22"/>
  <c r="D83" i="22"/>
  <c r="D91" i="22" s="1"/>
  <c r="B83" i="22"/>
  <c r="B91" i="22" s="1"/>
  <c r="D69" i="22"/>
  <c r="D70" i="22" s="1"/>
  <c r="C69" i="22"/>
  <c r="C70" i="22" s="1"/>
  <c r="C87" i="22" s="1"/>
  <c r="B69" i="22"/>
  <c r="B70" i="22" s="1"/>
  <c r="D79" i="21"/>
  <c r="B79" i="21"/>
  <c r="D69" i="21"/>
  <c r="D70" i="21" s="1"/>
  <c r="C69" i="21"/>
  <c r="C70" i="21" s="1"/>
  <c r="B69" i="21"/>
  <c r="B70" i="21" s="1"/>
  <c r="D75" i="21"/>
  <c r="D83" i="21" s="1"/>
  <c r="B75" i="21"/>
  <c r="B83" i="21" s="1"/>
  <c r="B52" i="19"/>
  <c r="B53" i="19" s="1"/>
  <c r="D52" i="19"/>
  <c r="D53" i="19" s="1"/>
  <c r="C52" i="19"/>
  <c r="C53" i="19" s="1"/>
  <c r="D57" i="19"/>
  <c r="D61" i="19" s="1"/>
  <c r="C57" i="19"/>
  <c r="C61" i="19" s="1"/>
  <c r="B57" i="19"/>
  <c r="B61" i="19" s="1"/>
  <c r="C79" i="22" l="1"/>
  <c r="C83" i="22" s="1"/>
  <c r="C91" i="22"/>
  <c r="C79" i="21"/>
  <c r="C83" i="21" s="1"/>
  <c r="C65" i="19"/>
  <c r="C69" i="19" s="1"/>
  <c r="B65" i="19"/>
  <c r="B69" i="19" s="1"/>
  <c r="D65" i="19"/>
  <c r="D69" i="19" s="1"/>
  <c r="B35" i="18" l="1"/>
  <c r="B36" i="18" s="1"/>
  <c r="B72" i="2"/>
  <c r="M35" i="18"/>
  <c r="M36" i="18" s="1"/>
  <c r="P35" i="18"/>
  <c r="P36" i="18" s="1"/>
  <c r="O35" i="18"/>
  <c r="O36" i="18" s="1"/>
  <c r="N35" i="18"/>
  <c r="N36" i="18" s="1"/>
  <c r="P33" i="17"/>
  <c r="P34" i="17" s="1"/>
  <c r="O33" i="17"/>
  <c r="O34" i="17" s="1"/>
  <c r="N33" i="17"/>
  <c r="N34" i="17" s="1"/>
  <c r="M33" i="17"/>
  <c r="M34" i="17" s="1"/>
  <c r="B33" i="17"/>
  <c r="B34" i="17" s="1"/>
  <c r="I33" i="13"/>
  <c r="D34" i="13"/>
  <c r="D41" i="13" s="1"/>
  <c r="C34" i="13"/>
  <c r="C41" i="13" s="1"/>
  <c r="B34" i="13"/>
  <c r="B41" i="13" s="1"/>
  <c r="C72" i="2"/>
  <c r="B70" i="2"/>
  <c r="C70" i="2"/>
  <c r="B10" i="7"/>
  <c r="B14" i="7" s="1"/>
  <c r="B21" i="7"/>
  <c r="B25" i="7" s="1"/>
  <c r="B56" i="3"/>
  <c r="B61" i="3" s="1"/>
  <c r="B75" i="3"/>
  <c r="B80" i="3" s="1"/>
  <c r="B94" i="3"/>
  <c r="B99" i="3" s="1"/>
  <c r="B77" i="4"/>
  <c r="B78" i="4" s="1"/>
  <c r="B86" i="4"/>
  <c r="B94" i="4"/>
  <c r="B121" i="4"/>
  <c r="B123" i="4" s="1"/>
  <c r="B88" i="4" l="1"/>
  <c r="B81" i="2"/>
  <c r="C81" i="2"/>
  <c r="B89" i="4"/>
  <c r="B95" i="4" s="1"/>
  <c r="B106" i="4" s="1"/>
  <c r="B107" i="4" s="1"/>
  <c r="N94" i="3"/>
  <c r="O94" i="3" s="1"/>
  <c r="N93" i="3"/>
  <c r="O93" i="3" s="1"/>
  <c r="N92" i="3"/>
  <c r="O92" i="3" s="1"/>
  <c r="B96" i="4" l="1"/>
  <c r="B97" i="4" s="1"/>
  <c r="B99" i="4" s="1"/>
  <c r="B137" i="4"/>
  <c r="B109" i="4"/>
  <c r="B110" i="4" s="1"/>
  <c r="B138" i="4" l="1"/>
  <c r="B116" i="4"/>
  <c r="B115" i="4"/>
  <c r="B129" i="4" s="1"/>
  <c r="B130" i="4" s="1"/>
  <c r="B125" i="4" l="1"/>
  <c r="B132" i="4" s="1"/>
  <c r="B133" i="4" s="1"/>
  <c r="B139" i="4" s="1"/>
  <c r="B141" i="4" s="1"/>
  <c r="N136" i="4" s="1"/>
  <c r="O136" i="4" s="1"/>
</calcChain>
</file>

<file path=xl/sharedStrings.xml><?xml version="1.0" encoding="utf-8"?>
<sst xmlns="http://schemas.openxmlformats.org/spreadsheetml/2006/main" count="2334" uniqueCount="850">
  <si>
    <t>Worksheet</t>
  </si>
  <si>
    <t>Origin</t>
  </si>
  <si>
    <t>Abutment_Scour</t>
  </si>
  <si>
    <t>WVLRT</t>
  </si>
  <si>
    <t>Contraction_Scour</t>
  </si>
  <si>
    <t>Beaver</t>
  </si>
  <si>
    <t>Pier_Scour</t>
  </si>
  <si>
    <t>MRL155</t>
  </si>
  <si>
    <t>Presssure_Scour</t>
  </si>
  <si>
    <t>SR198</t>
  </si>
  <si>
    <t>Complex_Pier_Scour</t>
  </si>
  <si>
    <t>Contraction_Type</t>
  </si>
  <si>
    <t>PierK2</t>
  </si>
  <si>
    <t>Date</t>
  </si>
  <si>
    <t>Action</t>
  </si>
  <si>
    <t>Creighton Omer: Checked/updated variable definitions in the following worksheets:</t>
  </si>
  <si>
    <t>Contraction_Type_LChR</t>
  </si>
  <si>
    <t>Contraction_Type_Ch</t>
  </si>
  <si>
    <t>Contraction_k1</t>
  </si>
  <si>
    <t>Pressure_Scour</t>
  </si>
  <si>
    <t>Note: Variable definitions are generally taken from HEC-18, though some were adopted from the HEC-RAS HRM (most notably Live-Bed Contraction Scour).</t>
  </si>
  <si>
    <t>Creighton Omer: Sent to Rusty Jones, Des Moines Office</t>
  </si>
  <si>
    <t>Spreadsheet update and checking process by Travis Neely, Ryan O'Mahony, and Creighton Omer.</t>
  </si>
  <si>
    <t>Creighton Omer: Sent to Dave Minner, Des Moines Office</t>
  </si>
  <si>
    <t>Creighton Omer: Sent to Dan Kvasnicka, Minneapolis Office</t>
  </si>
  <si>
    <r>
      <t xml:space="preserve">Creighton Omer: Checked current publications to confirm equations are valid. Made minor corrections and additions to page and equation </t>
    </r>
    <r>
      <rPr>
        <i/>
        <sz val="10"/>
        <rFont val="Arial"/>
        <family val="2"/>
      </rPr>
      <t>references</t>
    </r>
    <r>
      <rPr>
        <sz val="10"/>
        <rFont val="Arial"/>
        <family val="2"/>
      </rPr>
      <t xml:space="preserve">. </t>
    </r>
  </si>
  <si>
    <t>No change to calculations.</t>
  </si>
  <si>
    <t>FHWA Current Publications</t>
  </si>
  <si>
    <t>https://www.fhwa.dot.gov/engineering/hydraulics/library_listing.cfm</t>
  </si>
  <si>
    <t>Evaluating Scour at Bridges, Fifth Edition (2012)</t>
  </si>
  <si>
    <t>https://www.fhwa.dot.gov/engineering/hydraulics/library_arc.cfm?pub_number=17&amp;id=151</t>
  </si>
  <si>
    <t>Bridge Scour and Stream Instability Countermeasures Experience, Selection, and Design Guidance Third Edition, Volume 1 (2009)</t>
  </si>
  <si>
    <t>https://www.fhwa.dot.gov/engineering/hydraulics/library_arc.cfm?pub_number=23&amp;id=142</t>
  </si>
  <si>
    <t>Bridge Scour and Stream Instability Countermeasures Experience, Selection, and Design Guidance Third Edition, Volume 2 (2009)</t>
  </si>
  <si>
    <t>https://www.fhwa.dot.gov/engineering/hydraulics/library_arc.cfm?pub_number=23&amp;id=143</t>
  </si>
  <si>
    <t>Reference Check</t>
  </si>
  <si>
    <t>Equation*</t>
  </si>
  <si>
    <t>Equation No.</t>
  </si>
  <si>
    <t>Publication</t>
  </si>
  <si>
    <t>Page</t>
  </si>
  <si>
    <t>PDF p.</t>
  </si>
  <si>
    <t>Template_Notes</t>
  </si>
  <si>
    <t>---</t>
  </si>
  <si>
    <t>Instructions</t>
  </si>
  <si>
    <t>Geotech_Data</t>
  </si>
  <si>
    <t>Coversheet</t>
  </si>
  <si>
    <t>CS Type LChR</t>
  </si>
  <si>
    <t>Critical Velocity Equation</t>
  </si>
  <si>
    <t>HEC-18, Ed. 5</t>
  </si>
  <si>
    <t>CS Type Ch</t>
  </si>
  <si>
    <t>CS (Live-Bed)</t>
  </si>
  <si>
    <r>
      <t>Avg Depth in Contracted Section After Scour, y</t>
    </r>
    <r>
      <rPr>
        <vertAlign val="subscript"/>
        <sz val="10"/>
        <rFont val="Arial"/>
        <family val="2"/>
      </rPr>
      <t>2</t>
    </r>
  </si>
  <si>
    <r>
      <t>Live Bed Contraction Scour Depth, y</t>
    </r>
    <r>
      <rPr>
        <vertAlign val="subscript"/>
        <sz val="10"/>
        <rFont val="Arial"/>
        <family val="2"/>
      </rPr>
      <t>s</t>
    </r>
  </si>
  <si>
    <t>CS (Live-Bed) k1</t>
  </si>
  <si>
    <r>
      <t>Live Bed Contraction Scour Factor, k</t>
    </r>
    <r>
      <rPr>
        <vertAlign val="subscript"/>
        <sz val="10"/>
        <rFont val="Arial"/>
        <family val="2"/>
      </rPr>
      <t>1</t>
    </r>
  </si>
  <si>
    <t>CS (Clear-Water)</t>
  </si>
  <si>
    <r>
      <t>Clear Water Contraction Scour Depth, y</t>
    </r>
    <r>
      <rPr>
        <vertAlign val="subscript"/>
        <sz val="10"/>
        <rFont val="Arial"/>
        <family val="2"/>
      </rPr>
      <t>s</t>
    </r>
  </si>
  <si>
    <r>
      <t>D</t>
    </r>
    <r>
      <rPr>
        <vertAlign val="subscript"/>
        <sz val="10"/>
        <rFont val="Arial"/>
        <family val="2"/>
      </rPr>
      <t>m</t>
    </r>
  </si>
  <si>
    <t>VCS (Live-Bed)</t>
  </si>
  <si>
    <r>
      <t>Vertical Live-Bed Contraction Scour Depth, y</t>
    </r>
    <r>
      <rPr>
        <vertAlign val="subscript"/>
        <sz val="10"/>
        <rFont val="Arial"/>
        <family val="2"/>
      </rPr>
      <t>s</t>
    </r>
  </si>
  <si>
    <t>Separation Zone Thickness, t</t>
  </si>
  <si>
    <t>VCS (Clear-Water)</t>
  </si>
  <si>
    <r>
      <t>Vertical Clear-Water Contraction Scour, y</t>
    </r>
    <r>
      <rPr>
        <vertAlign val="subscript"/>
        <sz val="10"/>
        <rFont val="Arial"/>
        <family val="2"/>
      </rPr>
      <t>s</t>
    </r>
  </si>
  <si>
    <r>
      <t>h</t>
    </r>
    <r>
      <rPr>
        <vertAlign val="subscript"/>
        <sz val="10"/>
        <rFont val="Arial"/>
        <family val="2"/>
      </rPr>
      <t>t</t>
    </r>
  </si>
  <si>
    <r>
      <t>h</t>
    </r>
    <r>
      <rPr>
        <vertAlign val="subscript"/>
        <sz val="10"/>
        <rFont val="Arial"/>
        <family val="2"/>
      </rPr>
      <t>w</t>
    </r>
  </si>
  <si>
    <t>VCS (Live-Bed Overtopping)</t>
  </si>
  <si>
    <r>
      <t>Vertical Live-Bed Contraction Scour, y</t>
    </r>
    <r>
      <rPr>
        <vertAlign val="subscript"/>
        <sz val="10"/>
        <rFont val="Arial"/>
        <family val="2"/>
      </rPr>
      <t>s</t>
    </r>
  </si>
  <si>
    <r>
      <t>h</t>
    </r>
    <r>
      <rPr>
        <vertAlign val="subscript"/>
        <sz val="10"/>
        <rFont val="Arial"/>
        <family val="2"/>
      </rPr>
      <t>ue</t>
    </r>
  </si>
  <si>
    <r>
      <t>Q</t>
    </r>
    <r>
      <rPr>
        <vertAlign val="subscript"/>
        <sz val="10"/>
        <rFont val="Arial"/>
        <family val="2"/>
      </rPr>
      <t>ue</t>
    </r>
  </si>
  <si>
    <t>Abutment Froelich</t>
  </si>
  <si>
    <r>
      <t>Abutment Scour Depth, y</t>
    </r>
    <r>
      <rPr>
        <vertAlign val="subscript"/>
        <sz val="10"/>
        <rFont val="Arial"/>
        <family val="2"/>
      </rPr>
      <t>s</t>
    </r>
  </si>
  <si>
    <r>
      <t>k</t>
    </r>
    <r>
      <rPr>
        <vertAlign val="subscript"/>
        <sz val="10"/>
        <rFont val="Arial"/>
        <family val="2"/>
      </rPr>
      <t>2</t>
    </r>
  </si>
  <si>
    <t>Abutment HIRE</t>
  </si>
  <si>
    <t>Abutment NCHRP (Live-Bed)</t>
  </si>
  <si>
    <r>
      <t>Maximum Flow Depth from Abutment Scour, y</t>
    </r>
    <r>
      <rPr>
        <vertAlign val="subscript"/>
        <sz val="10"/>
        <rFont val="Arial"/>
        <family val="2"/>
      </rPr>
      <t>max</t>
    </r>
  </si>
  <si>
    <r>
      <t>Flow Depth including Live-Bed Contraction Scour, y</t>
    </r>
    <r>
      <rPr>
        <vertAlign val="subscript"/>
        <sz val="10"/>
        <rFont val="Arial"/>
        <family val="2"/>
      </rPr>
      <t>c</t>
    </r>
  </si>
  <si>
    <t>Abutment NCHRP (Clear-Water)</t>
  </si>
  <si>
    <r>
      <t>Flow Depth including Clear-Water Contraction Scour, y</t>
    </r>
    <r>
      <rPr>
        <vertAlign val="subscript"/>
        <sz val="10"/>
        <rFont val="Arial"/>
        <family val="2"/>
      </rPr>
      <t>c</t>
    </r>
  </si>
  <si>
    <t>Pier Scour</t>
  </si>
  <si>
    <t>Complex Pier Scour PC Case 1</t>
  </si>
  <si>
    <t>Pier K2</t>
  </si>
  <si>
    <t>Wall Scour EQ 4.3</t>
  </si>
  <si>
    <t>Wall Scour EQ 4.4</t>
  </si>
  <si>
    <t>*See HEC-18 for exact definition of terms.</t>
  </si>
  <si>
    <t>Scour Types</t>
  </si>
  <si>
    <t>Geotechnical Data Needed</t>
  </si>
  <si>
    <t>Parameter</t>
  </si>
  <si>
    <t>Location</t>
  </si>
  <si>
    <t>Purpose</t>
  </si>
  <si>
    <t>General Information</t>
  </si>
  <si>
    <t>Grain Size Distribution Curve(s)</t>
  </si>
  <si>
    <r>
      <t>D</t>
    </r>
    <r>
      <rPr>
        <vertAlign val="subscript"/>
        <sz val="10"/>
        <rFont val="Arial"/>
        <family val="2"/>
      </rPr>
      <t>50</t>
    </r>
    <r>
      <rPr>
        <sz val="10"/>
        <rFont val="Arial"/>
        <family val="2"/>
      </rPr>
      <t>, etc.</t>
    </r>
  </si>
  <si>
    <t>Boring Log(s)</t>
  </si>
  <si>
    <t>Soil types, elevations to determine variability, representive parameters.</t>
  </si>
  <si>
    <t>Long-Term Aggradation / Degradation</t>
  </si>
  <si>
    <t>No specific parameters required.</t>
  </si>
  <si>
    <t xml:space="preserve">Soil type, description, and gradation. </t>
  </si>
  <si>
    <t>Assess degradation potential.</t>
  </si>
  <si>
    <t>General Scour</t>
  </si>
  <si>
    <t>Contraction Scour</t>
  </si>
  <si>
    <r>
      <t>D</t>
    </r>
    <r>
      <rPr>
        <vertAlign val="subscript"/>
        <sz val="10"/>
        <color rgb="FF00B050"/>
        <rFont val="Arial"/>
        <family val="2"/>
      </rPr>
      <t>50</t>
    </r>
  </si>
  <si>
    <r>
      <t>LOB, Channel, ROB</t>
    </r>
    <r>
      <rPr>
        <vertAlign val="superscript"/>
        <sz val="10"/>
        <color rgb="FF00B050"/>
        <rFont val="Arial"/>
        <family val="2"/>
      </rPr>
      <t>1</t>
    </r>
  </si>
  <si>
    <t>Determine contraction type</t>
  </si>
  <si>
    <t>Live-Bed</t>
  </si>
  <si>
    <r>
      <t>Calculate k</t>
    </r>
    <r>
      <rPr>
        <vertAlign val="subscript"/>
        <sz val="10"/>
        <rFont val="Arial"/>
        <family val="2"/>
      </rPr>
      <t>1</t>
    </r>
    <r>
      <rPr>
        <sz val="10"/>
        <rFont val="Arial"/>
        <family val="2"/>
      </rPr>
      <t xml:space="preserve"> factor</t>
    </r>
  </si>
  <si>
    <t>Clear-Water</t>
  </si>
  <si>
    <r>
      <t>Calculate y</t>
    </r>
    <r>
      <rPr>
        <vertAlign val="subscript"/>
        <sz val="10"/>
        <rFont val="Arial"/>
        <family val="2"/>
      </rPr>
      <t>2</t>
    </r>
  </si>
  <si>
    <t>Local Scour</t>
  </si>
  <si>
    <t>Abutment Scour</t>
  </si>
  <si>
    <t>Froelich</t>
  </si>
  <si>
    <t>HIRE</t>
  </si>
  <si>
    <t>Pressure Flow Scour</t>
  </si>
  <si>
    <t>Channel</t>
  </si>
  <si>
    <r>
      <t>Calculate V</t>
    </r>
    <r>
      <rPr>
        <vertAlign val="subscript"/>
        <sz val="10"/>
        <rFont val="Arial"/>
        <family val="2"/>
      </rPr>
      <t>c</t>
    </r>
  </si>
  <si>
    <t>Plunge Pool</t>
  </si>
  <si>
    <t>1. LOB = Left Overbank, ROB = Right Overbank</t>
  </si>
  <si>
    <t>Scour Countermeasure Design</t>
  </si>
  <si>
    <t>NCHRP Report No. 568</t>
  </si>
  <si>
    <t>Geotextile Filter</t>
  </si>
  <si>
    <t>Grain Size Distribution Curve</t>
  </si>
  <si>
    <r>
      <t>D</t>
    </r>
    <r>
      <rPr>
        <vertAlign val="subscript"/>
        <sz val="10"/>
        <color rgb="FF00B050"/>
        <rFont val="Arial"/>
        <family val="2"/>
      </rPr>
      <t>30</t>
    </r>
    <r>
      <rPr>
        <sz val="10"/>
        <color rgb="FF00B050"/>
        <rFont val="Arial"/>
        <family val="2"/>
      </rPr>
      <t>, D</t>
    </r>
    <r>
      <rPr>
        <vertAlign val="subscript"/>
        <sz val="10"/>
        <color rgb="FF00B050"/>
        <rFont val="Arial"/>
        <family val="2"/>
      </rPr>
      <t>50</t>
    </r>
    <r>
      <rPr>
        <sz val="10"/>
        <color rgb="FF00B050"/>
        <rFont val="Arial"/>
        <family val="2"/>
      </rPr>
      <t>, D</t>
    </r>
    <r>
      <rPr>
        <vertAlign val="subscript"/>
        <sz val="10"/>
        <color rgb="FF00B050"/>
        <rFont val="Arial"/>
        <family val="2"/>
      </rPr>
      <t>90</t>
    </r>
  </si>
  <si>
    <t>Soil Retention</t>
  </si>
  <si>
    <r>
      <t>D</t>
    </r>
    <r>
      <rPr>
        <vertAlign val="subscript"/>
        <sz val="10"/>
        <color rgb="FF00B050"/>
        <rFont val="Arial"/>
        <family val="2"/>
      </rPr>
      <t>10</t>
    </r>
    <r>
      <rPr>
        <sz val="10"/>
        <color rgb="FF00B050"/>
        <rFont val="Arial"/>
        <family val="2"/>
      </rPr>
      <t>, D</t>
    </r>
    <r>
      <rPr>
        <vertAlign val="subscript"/>
        <sz val="10"/>
        <color rgb="FF00B050"/>
        <rFont val="Arial"/>
        <family val="2"/>
      </rPr>
      <t>60</t>
    </r>
  </si>
  <si>
    <t>Coefficient of Uniformity, Soil Retention</t>
  </si>
  <si>
    <t>Permeability, K</t>
  </si>
  <si>
    <t>Plasticity Index (if base soil &gt; 20% clay)</t>
  </si>
  <si>
    <t>Undrained Shear Strength</t>
  </si>
  <si>
    <t>Granular Filter</t>
  </si>
  <si>
    <t>Plasticity Index (if base soil &gt; 30% clay)</t>
  </si>
  <si>
    <t>Project:</t>
  </si>
  <si>
    <t>Project</t>
  </si>
  <si>
    <t>Computed:</t>
  </si>
  <si>
    <t>XXX</t>
  </si>
  <si>
    <t>Date:</t>
  </si>
  <si>
    <t>Subject:</t>
  </si>
  <si>
    <t>Scour Analysis</t>
  </si>
  <si>
    <t>Checked:</t>
  </si>
  <si>
    <t>Task:</t>
  </si>
  <si>
    <t>Summary</t>
  </si>
  <si>
    <t>Page:</t>
  </si>
  <si>
    <t>of:</t>
  </si>
  <si>
    <t>X</t>
  </si>
  <si>
    <t>Job #:</t>
  </si>
  <si>
    <t>No:</t>
  </si>
  <si>
    <t>Contents</t>
  </si>
  <si>
    <t>Description</t>
  </si>
  <si>
    <t>Contents, HEC-RAS Model Files</t>
  </si>
  <si>
    <t>Computation of Abutment (Local) Scour</t>
  </si>
  <si>
    <t>Variables and Equations</t>
  </si>
  <si>
    <t>3-4</t>
  </si>
  <si>
    <t>WV LRT Jordan River Bridge</t>
  </si>
  <si>
    <t>HEC-RAS Model Files</t>
  </si>
  <si>
    <r>
      <t>Path</t>
    </r>
    <r>
      <rPr>
        <sz val="10"/>
        <rFont val="Arial"/>
        <family val="2"/>
      </rPr>
      <t>:</t>
    </r>
  </si>
  <si>
    <t>I:\LRT PROJECTS\RAI011 West Valley LRT Project\WSA Team\Final Design\</t>
  </si>
  <si>
    <t>\5.0 Utilities\Drainage\Analysis_and_Design\Jordan_River\HEC_RAS_3_1_3</t>
  </si>
  <si>
    <r>
      <t>Model</t>
    </r>
    <r>
      <rPr>
        <sz val="10"/>
        <rFont val="Arial"/>
        <family val="2"/>
      </rPr>
      <t>:</t>
    </r>
  </si>
  <si>
    <t>WV_LRT_Jordan_River.prj</t>
  </si>
  <si>
    <t>Plans and Profiles for Scour Analysis</t>
  </si>
  <si>
    <t>Plan Name:</t>
  </si>
  <si>
    <t>JR NAVD 88 Proposed</t>
  </si>
  <si>
    <t>Short ID:</t>
  </si>
  <si>
    <t>JR88PR</t>
  </si>
  <si>
    <t>Plan Filename:</t>
  </si>
  <si>
    <t>WV_LRT_Jordan_River.p04</t>
  </si>
  <si>
    <t>Profile Name:</t>
  </si>
  <si>
    <t>100-YR ET</t>
  </si>
  <si>
    <t>Discharge:</t>
  </si>
  <si>
    <t>Flowrate: 4700 cfs</t>
  </si>
  <si>
    <t>JR NAVD 88 Proposed Sensitivity 2 - n</t>
  </si>
  <si>
    <t>JR88PRS2</t>
  </si>
  <si>
    <t>WV_LRT_Jordan_River.p06</t>
  </si>
  <si>
    <t>LB_Overtop</t>
  </si>
  <si>
    <t>Flowrate: 7670 cfs</t>
  </si>
  <si>
    <t>Contraction Type</t>
  </si>
  <si>
    <t>Determination of Contraction Scour Type</t>
  </si>
  <si>
    <r>
      <t>References</t>
    </r>
    <r>
      <rPr>
        <b/>
        <sz val="10"/>
        <rFont val="Arial"/>
        <family val="2"/>
      </rPr>
      <t>:</t>
    </r>
  </si>
  <si>
    <t>FHWA Hydraulic Engineering Circular No. 18, Fifth Edition, Chapter 6</t>
  </si>
  <si>
    <t>USACE HEC-RAS Hydraulic Reference Manual, Version 5.0, Chapter 10</t>
  </si>
  <si>
    <r>
      <t>V</t>
    </r>
    <r>
      <rPr>
        <vertAlign val="subscript"/>
        <sz val="10"/>
        <rFont val="Arial"/>
        <family val="2"/>
      </rPr>
      <t>c</t>
    </r>
    <r>
      <rPr>
        <sz val="10"/>
        <rFont val="Arial"/>
        <family val="2"/>
      </rPr>
      <t xml:space="preserve"> = K</t>
    </r>
    <r>
      <rPr>
        <vertAlign val="subscript"/>
        <sz val="10"/>
        <rFont val="Arial"/>
        <family val="2"/>
      </rPr>
      <t>u</t>
    </r>
    <r>
      <rPr>
        <sz val="10"/>
        <rFont val="Arial"/>
        <family val="2"/>
      </rPr>
      <t xml:space="preserve"> y</t>
    </r>
    <r>
      <rPr>
        <vertAlign val="superscript"/>
        <sz val="10"/>
        <rFont val="Arial"/>
        <family val="2"/>
      </rPr>
      <t>1/6</t>
    </r>
    <r>
      <rPr>
        <sz val="10"/>
        <rFont val="Arial"/>
        <family val="2"/>
      </rPr>
      <t xml:space="preserve"> D</t>
    </r>
    <r>
      <rPr>
        <vertAlign val="superscript"/>
        <sz val="10"/>
        <rFont val="Arial"/>
        <family val="2"/>
      </rPr>
      <t>1/3</t>
    </r>
  </si>
  <si>
    <t>See HEC-18, Fifth Edition, Eq. 6.1</t>
  </si>
  <si>
    <r>
      <t>V</t>
    </r>
    <r>
      <rPr>
        <vertAlign val="subscript"/>
        <sz val="10"/>
        <rFont val="Arial"/>
        <family val="2"/>
      </rPr>
      <t>c</t>
    </r>
  </si>
  <si>
    <t>fps</t>
  </si>
  <si>
    <t>critical velocity above which bed material of size D and smaller will be transported</t>
  </si>
  <si>
    <t>y</t>
  </si>
  <si>
    <t>ft</t>
  </si>
  <si>
    <t>average depth of flow upstream of the bridge</t>
  </si>
  <si>
    <t>D</t>
  </si>
  <si>
    <r>
      <t>particle size for V</t>
    </r>
    <r>
      <rPr>
        <vertAlign val="subscript"/>
        <sz val="10"/>
        <rFont val="Arial"/>
        <family val="2"/>
      </rPr>
      <t>c</t>
    </r>
  </si>
  <si>
    <r>
      <t>D</t>
    </r>
    <r>
      <rPr>
        <vertAlign val="subscript"/>
        <sz val="10"/>
        <rFont val="Arial"/>
        <family val="2"/>
      </rPr>
      <t>50</t>
    </r>
  </si>
  <si>
    <t>particle size in a mixture of which 50 percent are smaller</t>
  </si>
  <si>
    <r>
      <t>K</t>
    </r>
    <r>
      <rPr>
        <vertAlign val="subscript"/>
        <sz val="10"/>
        <rFont val="Arial"/>
        <family val="2"/>
      </rPr>
      <t>u</t>
    </r>
  </si>
  <si>
    <t>11.17 for English units; 6.19 for SI units</t>
  </si>
  <si>
    <t>Jordan River 11400 South Bridge</t>
  </si>
  <si>
    <t>River:</t>
  </si>
  <si>
    <t>Jordan River</t>
  </si>
  <si>
    <t>Reach:</t>
  </si>
  <si>
    <t>Reach</t>
  </si>
  <si>
    <t>Profile:</t>
  </si>
  <si>
    <t>Q100</t>
  </si>
  <si>
    <t>LOB</t>
  </si>
  <si>
    <t>ROB</t>
  </si>
  <si>
    <t>Notes</t>
  </si>
  <si>
    <r>
      <t>Unit Conversion</t>
    </r>
    <r>
      <rPr>
        <sz val="10"/>
        <rFont val="Arial"/>
        <family val="2"/>
      </rPr>
      <t>:</t>
    </r>
  </si>
  <si>
    <t>English units</t>
  </si>
  <si>
    <t>mm/ft</t>
  </si>
  <si>
    <t>Hydraulic depth RS 1260.64</t>
  </si>
  <si>
    <t>mm</t>
  </si>
  <si>
    <t>V</t>
  </si>
  <si>
    <t>Avg. velocity RS 1260.64</t>
  </si>
  <si>
    <r>
      <t>If V</t>
    </r>
    <r>
      <rPr>
        <vertAlign val="subscript"/>
        <sz val="10"/>
        <rFont val="Arial"/>
        <family val="2"/>
      </rPr>
      <t>c</t>
    </r>
    <r>
      <rPr>
        <sz val="10"/>
        <rFont val="Arial"/>
        <family val="2"/>
      </rPr>
      <t xml:space="preserve"> &gt; V --&gt; Clear-Water Contraction Scour</t>
    </r>
  </si>
  <si>
    <r>
      <t>If V</t>
    </r>
    <r>
      <rPr>
        <vertAlign val="subscript"/>
        <sz val="10"/>
        <rFont val="Arial"/>
        <family val="2"/>
      </rPr>
      <t>c</t>
    </r>
    <r>
      <rPr>
        <sz val="10"/>
        <rFont val="Arial"/>
        <family val="2"/>
      </rPr>
      <t xml:space="preserve"> &lt; V --&gt; Live-Bed Contraction Scour</t>
    </r>
  </si>
  <si>
    <r>
      <t>Notes</t>
    </r>
    <r>
      <rPr>
        <sz val="10"/>
        <rFont val="Arial"/>
        <family val="2"/>
      </rPr>
      <t>:</t>
    </r>
  </si>
  <si>
    <t>100-YR</t>
  </si>
  <si>
    <t>500-YR</t>
  </si>
  <si>
    <t>g</t>
  </si>
  <si>
    <r>
      <t>ft/s</t>
    </r>
    <r>
      <rPr>
        <vertAlign val="superscript"/>
        <sz val="10"/>
        <rFont val="Arial"/>
        <family val="2"/>
      </rPr>
      <t>2</t>
    </r>
  </si>
  <si>
    <r>
      <t>y</t>
    </r>
    <r>
      <rPr>
        <vertAlign val="subscript"/>
        <sz val="10"/>
        <rFont val="Arial"/>
        <family val="2"/>
      </rPr>
      <t>1</t>
    </r>
  </si>
  <si>
    <r>
      <t>k</t>
    </r>
    <r>
      <rPr>
        <vertAlign val="subscript"/>
        <sz val="10"/>
        <rFont val="Arial"/>
        <family val="2"/>
      </rPr>
      <t>1</t>
    </r>
  </si>
  <si>
    <t>Plan:</t>
  </si>
  <si>
    <t>Live-Bed Contraction Scour</t>
  </si>
  <si>
    <r>
      <t>y</t>
    </r>
    <r>
      <rPr>
        <vertAlign val="subscript"/>
        <sz val="10"/>
        <rFont val="Arial"/>
        <family val="2"/>
      </rPr>
      <t>s</t>
    </r>
  </si>
  <si>
    <t>average depth of contraction scour</t>
  </si>
  <si>
    <r>
      <t>y</t>
    </r>
    <r>
      <rPr>
        <vertAlign val="subscript"/>
        <sz val="10"/>
        <rFont val="Arial"/>
        <family val="2"/>
      </rPr>
      <t>2</t>
    </r>
  </si>
  <si>
    <r>
      <t xml:space="preserve">average depth after scour in the </t>
    </r>
    <r>
      <rPr>
        <b/>
        <sz val="10"/>
        <rFont val="Arial"/>
        <family val="2"/>
      </rPr>
      <t>contracted</t>
    </r>
    <r>
      <rPr>
        <sz val="10"/>
        <rFont val="Arial"/>
        <family val="2"/>
      </rPr>
      <t xml:space="preserve"> section</t>
    </r>
  </si>
  <si>
    <r>
      <t xml:space="preserve">average depth in the main channel or floodplain at the </t>
    </r>
    <r>
      <rPr>
        <b/>
        <sz val="10"/>
        <rFont val="Arial"/>
        <family val="2"/>
      </rPr>
      <t>approach</t>
    </r>
    <r>
      <rPr>
        <sz val="10"/>
        <rFont val="Arial"/>
        <family val="2"/>
      </rPr>
      <t xml:space="preserve"> section</t>
    </r>
  </si>
  <si>
    <r>
      <t>y</t>
    </r>
    <r>
      <rPr>
        <vertAlign val="subscript"/>
        <sz val="10"/>
        <rFont val="Arial"/>
        <family val="2"/>
      </rPr>
      <t>0</t>
    </r>
  </si>
  <si>
    <r>
      <t>Q</t>
    </r>
    <r>
      <rPr>
        <vertAlign val="subscript"/>
        <sz val="10"/>
        <rFont val="Arial"/>
        <family val="2"/>
      </rPr>
      <t>1</t>
    </r>
  </si>
  <si>
    <t>cfs</t>
  </si>
  <si>
    <r>
      <t xml:space="preserve">flow in the main channel or floodplain at the </t>
    </r>
    <r>
      <rPr>
        <b/>
        <sz val="10"/>
        <rFont val="Arial"/>
        <family val="2"/>
      </rPr>
      <t>approach</t>
    </r>
    <r>
      <rPr>
        <sz val="10"/>
        <rFont val="Arial"/>
        <family val="2"/>
      </rPr>
      <t xml:space="preserve"> section, which is transporting sediment</t>
    </r>
  </si>
  <si>
    <r>
      <t>Q</t>
    </r>
    <r>
      <rPr>
        <vertAlign val="subscript"/>
        <sz val="10"/>
        <rFont val="Arial"/>
        <family val="2"/>
      </rPr>
      <t>2</t>
    </r>
  </si>
  <si>
    <r>
      <t xml:space="preserve">flow in the main channel or floodplain at the </t>
    </r>
    <r>
      <rPr>
        <b/>
        <sz val="10"/>
        <rFont val="Arial"/>
        <family val="2"/>
      </rPr>
      <t>contracted</t>
    </r>
    <r>
      <rPr>
        <sz val="10"/>
        <rFont val="Arial"/>
        <family val="2"/>
      </rPr>
      <t xml:space="preserve"> section, which is transporting sediment</t>
    </r>
  </si>
  <si>
    <r>
      <t>W</t>
    </r>
    <r>
      <rPr>
        <vertAlign val="subscript"/>
        <sz val="10"/>
        <rFont val="Arial"/>
        <family val="2"/>
      </rPr>
      <t>1</t>
    </r>
  </si>
  <si>
    <r>
      <t>W</t>
    </r>
    <r>
      <rPr>
        <vertAlign val="subscript"/>
        <sz val="10"/>
        <rFont val="Arial"/>
        <family val="2"/>
      </rPr>
      <t>2</t>
    </r>
  </si>
  <si>
    <t>exponent for mode of bed material transport</t>
  </si>
  <si>
    <r>
      <t>y</t>
    </r>
    <r>
      <rPr>
        <vertAlign val="subscript"/>
        <sz val="10"/>
        <rFont val="Arial"/>
        <family val="2"/>
      </rPr>
      <t>2</t>
    </r>
    <r>
      <rPr>
        <sz val="10"/>
        <rFont val="Arial"/>
        <family val="2"/>
      </rPr>
      <t xml:space="preserve"> = y</t>
    </r>
    <r>
      <rPr>
        <vertAlign val="subscript"/>
        <sz val="10"/>
        <rFont val="Arial"/>
        <family val="2"/>
      </rPr>
      <t>1</t>
    </r>
    <r>
      <rPr>
        <sz val="10"/>
        <rFont val="Arial"/>
        <family val="2"/>
      </rPr>
      <t>(Q</t>
    </r>
    <r>
      <rPr>
        <vertAlign val="subscript"/>
        <sz val="10"/>
        <rFont val="Arial"/>
        <family val="2"/>
      </rPr>
      <t>2</t>
    </r>
    <r>
      <rPr>
        <sz val="10"/>
        <rFont val="Arial"/>
        <family val="2"/>
      </rPr>
      <t>/Q</t>
    </r>
    <r>
      <rPr>
        <vertAlign val="subscript"/>
        <sz val="10"/>
        <rFont val="Arial"/>
        <family val="2"/>
      </rPr>
      <t>1</t>
    </r>
    <r>
      <rPr>
        <sz val="10"/>
        <rFont val="Arial"/>
        <family val="2"/>
      </rPr>
      <t>)</t>
    </r>
    <r>
      <rPr>
        <vertAlign val="superscript"/>
        <sz val="10"/>
        <rFont val="Arial"/>
        <family val="2"/>
      </rPr>
      <t>(6/7)</t>
    </r>
    <r>
      <rPr>
        <sz val="10"/>
        <rFont val="Arial"/>
        <family val="2"/>
      </rPr>
      <t>(W</t>
    </r>
    <r>
      <rPr>
        <vertAlign val="subscript"/>
        <sz val="10"/>
        <rFont val="Arial"/>
        <family val="2"/>
      </rPr>
      <t>1</t>
    </r>
    <r>
      <rPr>
        <sz val="10"/>
        <rFont val="Arial"/>
        <family val="2"/>
      </rPr>
      <t>/W</t>
    </r>
    <r>
      <rPr>
        <vertAlign val="subscript"/>
        <sz val="10"/>
        <rFont val="Arial"/>
        <family val="2"/>
      </rPr>
      <t>2</t>
    </r>
    <r>
      <rPr>
        <sz val="10"/>
        <rFont val="Arial"/>
        <family val="2"/>
      </rPr>
      <t>)</t>
    </r>
    <r>
      <rPr>
        <vertAlign val="superscript"/>
        <sz val="10"/>
        <rFont val="Arial"/>
        <family val="2"/>
      </rPr>
      <t>k1</t>
    </r>
  </si>
  <si>
    <t>See HEC-18, Fifth Edition, Eq. 6.2</t>
  </si>
  <si>
    <t>Profile(s):</t>
  </si>
  <si>
    <t>River Sta:</t>
  </si>
  <si>
    <t>Contraction Type:</t>
  </si>
  <si>
    <t>Based on Critical Velocity Equation</t>
  </si>
  <si>
    <t>Hydraulic Depth Channel (RS 1363)</t>
  </si>
  <si>
    <t>Hydraulic Depth Channel (RS 1220 BR U)</t>
  </si>
  <si>
    <t>Q Channel (RS 1363)</t>
  </si>
  <si>
    <t>Q Bridge (RS 1220 BR U)</t>
  </si>
  <si>
    <t>Top Width Channel (RS 1363)</t>
  </si>
  <si>
    <t>average equilibrium depth in the contracted section after contraction scour</t>
  </si>
  <si>
    <t>Q</t>
  </si>
  <si>
    <t>discharge through the bridge or on the set-back overbank area at the bridge</t>
  </si>
  <si>
    <t>associated with the width, W</t>
  </si>
  <si>
    <t>median diameter of the bed material</t>
  </si>
  <si>
    <t>W</t>
  </si>
  <si>
    <t>average existing depth in the contracted section</t>
  </si>
  <si>
    <t>0.0077 for English units; 0.025 for SI units</t>
  </si>
  <si>
    <r>
      <t>D</t>
    </r>
    <r>
      <rPr>
        <vertAlign val="subscript"/>
        <sz val="10"/>
        <rFont val="Arial"/>
        <family val="2"/>
      </rPr>
      <t>m</t>
    </r>
    <r>
      <rPr>
        <sz val="10"/>
        <rFont val="Arial"/>
        <family val="2"/>
      </rPr>
      <t xml:space="preserve"> = 1.25*D</t>
    </r>
    <r>
      <rPr>
        <vertAlign val="subscript"/>
        <sz val="10"/>
        <rFont val="Arial"/>
        <family val="2"/>
      </rPr>
      <t>50</t>
    </r>
  </si>
  <si>
    <t>See HEC-18, Fifth Edition, p. 6.12</t>
  </si>
  <si>
    <r>
      <t>y</t>
    </r>
    <r>
      <rPr>
        <vertAlign val="subscript"/>
        <sz val="10"/>
        <rFont val="Arial"/>
        <family val="2"/>
      </rPr>
      <t>2</t>
    </r>
    <r>
      <rPr>
        <sz val="10"/>
        <rFont val="Arial"/>
        <family val="2"/>
      </rPr>
      <t xml:space="preserve"> = ((K</t>
    </r>
    <r>
      <rPr>
        <vertAlign val="subscript"/>
        <sz val="10"/>
        <rFont val="Arial"/>
        <family val="2"/>
      </rPr>
      <t>u</t>
    </r>
    <r>
      <rPr>
        <sz val="10"/>
        <rFont val="Arial"/>
        <family val="2"/>
      </rPr>
      <t>Q</t>
    </r>
    <r>
      <rPr>
        <vertAlign val="superscript"/>
        <sz val="10"/>
        <rFont val="Arial"/>
        <family val="2"/>
      </rPr>
      <t>2</t>
    </r>
    <r>
      <rPr>
        <sz val="10"/>
        <rFont val="Arial"/>
        <family val="2"/>
      </rPr>
      <t>)</t>
    </r>
    <r>
      <rPr>
        <sz val="10"/>
        <rFont val="Arial"/>
        <family val="2"/>
      </rPr>
      <t>/(D</t>
    </r>
    <r>
      <rPr>
        <vertAlign val="subscript"/>
        <sz val="10"/>
        <rFont val="Arial"/>
        <family val="2"/>
      </rPr>
      <t>m</t>
    </r>
    <r>
      <rPr>
        <vertAlign val="superscript"/>
        <sz val="10"/>
        <rFont val="Arial"/>
        <family val="2"/>
      </rPr>
      <t>(2/3)</t>
    </r>
    <r>
      <rPr>
        <sz val="10"/>
        <rFont val="Arial"/>
        <family val="2"/>
      </rPr>
      <t>W</t>
    </r>
    <r>
      <rPr>
        <vertAlign val="superscript"/>
        <sz val="10"/>
        <rFont val="Arial"/>
        <family val="2"/>
      </rPr>
      <t>2</t>
    </r>
    <r>
      <rPr>
        <sz val="10"/>
        <rFont val="Arial"/>
        <family val="2"/>
      </rPr>
      <t>))</t>
    </r>
    <r>
      <rPr>
        <vertAlign val="superscript"/>
        <sz val="10"/>
        <rFont val="Arial"/>
        <family val="2"/>
      </rPr>
      <t>(3/7)</t>
    </r>
  </si>
  <si>
    <t>See HEC-18, Fifth Edition, Eq. 6.4</t>
  </si>
  <si>
    <t xml:space="preserve">Plan: </t>
  </si>
  <si>
    <t xml:space="preserve">Profile: </t>
  </si>
  <si>
    <r>
      <t>Notes</t>
    </r>
    <r>
      <rPr>
        <b/>
        <sz val="10"/>
        <rFont val="Arial"/>
        <family val="2"/>
      </rPr>
      <t>:</t>
    </r>
  </si>
  <si>
    <t>Vertical Contraction Scour</t>
  </si>
  <si>
    <t>Computation of Vertical Live-Bed Contraction Scour</t>
  </si>
  <si>
    <r>
      <t xml:space="preserve">average depth in the main channel or floodplain at the </t>
    </r>
    <r>
      <rPr>
        <b/>
        <sz val="10"/>
        <rFont val="Arial"/>
        <family val="2"/>
      </rPr>
      <t>contracted</t>
    </r>
    <r>
      <rPr>
        <sz val="10"/>
        <rFont val="Arial"/>
        <family val="2"/>
      </rPr>
      <t xml:space="preserve"> section </t>
    </r>
    <r>
      <rPr>
        <b/>
        <sz val="10"/>
        <rFont val="Arial"/>
        <family val="2"/>
      </rPr>
      <t xml:space="preserve">before </t>
    </r>
    <r>
      <rPr>
        <sz val="10"/>
        <rFont val="Arial"/>
        <family val="2"/>
      </rPr>
      <t>scour</t>
    </r>
  </si>
  <si>
    <r>
      <t xml:space="preserve">bottom width* of the main channel or floodplain at the </t>
    </r>
    <r>
      <rPr>
        <b/>
        <sz val="10"/>
        <rFont val="Arial"/>
        <family val="2"/>
      </rPr>
      <t>approach</t>
    </r>
    <r>
      <rPr>
        <sz val="10"/>
        <rFont val="Arial"/>
        <family val="2"/>
      </rPr>
      <t xml:space="preserve"> section</t>
    </r>
  </si>
  <si>
    <r>
      <t xml:space="preserve">bottom width* of the main channel or floodplain at the </t>
    </r>
    <r>
      <rPr>
        <b/>
        <sz val="10"/>
        <rFont val="Arial"/>
        <family val="2"/>
      </rPr>
      <t>contracted</t>
    </r>
    <r>
      <rPr>
        <sz val="10"/>
        <rFont val="Arial"/>
        <family val="2"/>
      </rPr>
      <t xml:space="preserve"> section less pier widths</t>
    </r>
  </si>
  <si>
    <r>
      <t>h</t>
    </r>
    <r>
      <rPr>
        <vertAlign val="subscript"/>
        <sz val="10"/>
        <rFont val="Arial"/>
        <family val="2"/>
      </rPr>
      <t>u</t>
    </r>
  </si>
  <si>
    <t>upstream channel flow depth as defined for Eq 6.2</t>
  </si>
  <si>
    <r>
      <t>h</t>
    </r>
    <r>
      <rPr>
        <vertAlign val="subscript"/>
        <sz val="10"/>
        <rFont val="Arial"/>
        <family val="2"/>
      </rPr>
      <t>b</t>
    </r>
  </si>
  <si>
    <t>vertical size of the bridge opening prior to scour</t>
  </si>
  <si>
    <t>T</t>
  </si>
  <si>
    <t>height (thickness) of bridge obstruction including girders, deck, and parapet</t>
  </si>
  <si>
    <r>
      <t>distance from the water surface to the lower face of the bridge girders, equals h</t>
    </r>
    <r>
      <rPr>
        <vertAlign val="subscript"/>
        <sz val="10"/>
        <rFont val="Arial"/>
        <family val="2"/>
      </rPr>
      <t>u</t>
    </r>
    <r>
      <rPr>
        <sz val="10"/>
        <rFont val="Arial"/>
        <family val="2"/>
      </rPr>
      <t>-h</t>
    </r>
    <r>
      <rPr>
        <vertAlign val="subscript"/>
        <sz val="10"/>
        <rFont val="Arial"/>
        <family val="2"/>
      </rPr>
      <t>b</t>
    </r>
  </si>
  <si>
    <r>
      <t>weir flow height = h</t>
    </r>
    <r>
      <rPr>
        <vertAlign val="subscript"/>
        <sz val="10"/>
        <rFont val="Arial"/>
        <family val="2"/>
      </rPr>
      <t>t</t>
    </r>
    <r>
      <rPr>
        <sz val="10"/>
        <rFont val="Arial"/>
        <family val="2"/>
      </rPr>
      <t xml:space="preserve"> - T for h</t>
    </r>
    <r>
      <rPr>
        <vertAlign val="subscript"/>
        <sz val="10"/>
        <rFont val="Arial"/>
        <family val="2"/>
      </rPr>
      <t>t</t>
    </r>
    <r>
      <rPr>
        <sz val="10"/>
        <rFont val="Arial"/>
        <family val="2"/>
      </rPr>
      <t>&gt;T, h</t>
    </r>
    <r>
      <rPr>
        <vertAlign val="subscript"/>
        <sz val="10"/>
        <rFont val="Arial"/>
        <family val="2"/>
      </rPr>
      <t>w</t>
    </r>
    <r>
      <rPr>
        <sz val="10"/>
        <rFont val="Arial"/>
        <family val="2"/>
      </rPr>
      <t xml:space="preserve"> = 0 for h</t>
    </r>
    <r>
      <rPr>
        <vertAlign val="subscript"/>
        <sz val="10"/>
        <rFont val="Arial"/>
        <family val="2"/>
      </rPr>
      <t>t</t>
    </r>
    <r>
      <rPr>
        <sz val="10"/>
        <rFont val="Arial"/>
        <family val="2"/>
      </rPr>
      <t xml:space="preserve"> &lt;=T</t>
    </r>
  </si>
  <si>
    <t>*see HEC-RAS Hydraulic Reference Manual for description of width</t>
  </si>
  <si>
    <t>Beaver River Bridge at MP 2.1 on SR-160</t>
  </si>
  <si>
    <t>FHWA HEC No. 18 - Fifth Edition, Chapter 6</t>
  </si>
  <si>
    <t>HEC-RAS Hydraulic Reference Manual, Chapter 10</t>
  </si>
  <si>
    <t>Beaver River</t>
  </si>
  <si>
    <t>(Reach)</t>
  </si>
  <si>
    <t>100-yr</t>
  </si>
  <si>
    <t>Bridge at Station 1220; Approach Station 1363</t>
  </si>
  <si>
    <t>Contraction Case:</t>
  </si>
  <si>
    <t>Top Width Channel (RS 1220 BR U)*</t>
  </si>
  <si>
    <t>See HEC-18, Fifth Edition, Pg. 6.10</t>
  </si>
  <si>
    <r>
      <t>h</t>
    </r>
    <r>
      <rPr>
        <vertAlign val="subscript"/>
        <sz val="10"/>
        <rFont val="Arial"/>
        <family val="2"/>
      </rPr>
      <t>t</t>
    </r>
    <r>
      <rPr>
        <sz val="10"/>
        <rFont val="Arial"/>
        <family val="2"/>
      </rPr>
      <t xml:space="preserve"> = h</t>
    </r>
    <r>
      <rPr>
        <vertAlign val="subscript"/>
        <sz val="10"/>
        <rFont val="Arial"/>
        <family val="2"/>
      </rPr>
      <t>u</t>
    </r>
    <r>
      <rPr>
        <sz val="10"/>
        <rFont val="Arial"/>
        <family val="2"/>
      </rPr>
      <t>-h</t>
    </r>
    <r>
      <rPr>
        <vertAlign val="subscript"/>
        <sz val="10"/>
        <rFont val="Arial"/>
        <family val="2"/>
      </rPr>
      <t xml:space="preserve">b  </t>
    </r>
    <r>
      <rPr>
        <sz val="10"/>
        <rFont val="Arial"/>
        <family val="2"/>
      </rPr>
      <t>See HEC-18, Fifth Edition, p. 6.25</t>
    </r>
  </si>
  <si>
    <t>See HEC-18, Fifth Edition, p. 6.25</t>
  </si>
  <si>
    <r>
      <t>t = 0.5 ((h</t>
    </r>
    <r>
      <rPr>
        <vertAlign val="subscript"/>
        <sz val="10"/>
        <rFont val="Arial"/>
        <family val="2"/>
      </rPr>
      <t>b</t>
    </r>
    <r>
      <rPr>
        <sz val="10"/>
        <rFont val="Arial"/>
        <family val="2"/>
      </rPr>
      <t>h</t>
    </r>
    <r>
      <rPr>
        <vertAlign val="subscript"/>
        <sz val="10"/>
        <rFont val="Arial"/>
        <family val="2"/>
      </rPr>
      <t>t</t>
    </r>
    <r>
      <rPr>
        <sz val="10"/>
        <rFont val="Arial"/>
        <family val="2"/>
      </rPr>
      <t>)/h</t>
    </r>
    <r>
      <rPr>
        <vertAlign val="subscript"/>
        <sz val="10"/>
        <rFont val="Arial"/>
        <family val="2"/>
      </rPr>
      <t>u</t>
    </r>
    <r>
      <rPr>
        <vertAlign val="superscript"/>
        <sz val="10"/>
        <rFont val="Arial"/>
        <family val="2"/>
      </rPr>
      <t>2</t>
    </r>
    <r>
      <rPr>
        <sz val="10"/>
        <rFont val="Arial"/>
        <family val="2"/>
      </rPr>
      <t>)</t>
    </r>
    <r>
      <rPr>
        <vertAlign val="superscript"/>
        <sz val="10"/>
        <rFont val="Arial"/>
        <family val="2"/>
      </rPr>
      <t>0.2</t>
    </r>
    <r>
      <rPr>
        <sz val="10"/>
        <rFont val="Arial"/>
        <family val="2"/>
      </rPr>
      <t>(1-h</t>
    </r>
    <r>
      <rPr>
        <vertAlign val="subscript"/>
        <sz val="10"/>
        <rFont val="Arial"/>
        <family val="2"/>
      </rPr>
      <t>w</t>
    </r>
    <r>
      <rPr>
        <sz val="10"/>
        <rFont val="Arial"/>
        <family val="2"/>
      </rPr>
      <t>/h</t>
    </r>
    <r>
      <rPr>
        <vertAlign val="subscript"/>
        <sz val="10"/>
        <rFont val="Arial"/>
        <family val="2"/>
      </rPr>
      <t>t</t>
    </r>
    <r>
      <rPr>
        <sz val="10"/>
        <rFont val="Arial"/>
        <family val="2"/>
      </rPr>
      <t>)</t>
    </r>
    <r>
      <rPr>
        <vertAlign val="superscript"/>
        <sz val="10"/>
        <rFont val="Arial"/>
        <family val="2"/>
      </rPr>
      <t>-0.1</t>
    </r>
    <r>
      <rPr>
        <sz val="10"/>
        <rFont val="Arial"/>
        <family val="2"/>
      </rPr>
      <t>h</t>
    </r>
    <r>
      <rPr>
        <vertAlign val="subscript"/>
        <sz val="10"/>
        <rFont val="Arial"/>
        <family val="2"/>
      </rPr>
      <t>b</t>
    </r>
  </si>
  <si>
    <t>See HEC-18, Fifth Edition, Eq. 6.16</t>
  </si>
  <si>
    <t>t</t>
  </si>
  <si>
    <r>
      <t>y</t>
    </r>
    <r>
      <rPr>
        <vertAlign val="subscript"/>
        <sz val="10"/>
        <rFont val="Arial"/>
        <family val="2"/>
      </rPr>
      <t>s</t>
    </r>
    <r>
      <rPr>
        <sz val="10"/>
        <rFont val="Arial"/>
        <family val="2"/>
      </rPr>
      <t xml:space="preserve"> = y</t>
    </r>
    <r>
      <rPr>
        <vertAlign val="subscript"/>
        <sz val="10"/>
        <rFont val="Arial"/>
        <family val="2"/>
      </rPr>
      <t>2</t>
    </r>
    <r>
      <rPr>
        <sz val="10"/>
        <rFont val="Arial"/>
        <family val="2"/>
      </rPr>
      <t xml:space="preserve"> + t - h</t>
    </r>
    <r>
      <rPr>
        <vertAlign val="subscript"/>
        <sz val="10"/>
        <rFont val="Arial"/>
        <family val="2"/>
      </rPr>
      <t>b</t>
    </r>
  </si>
  <si>
    <t>See HEC-18, Fifth Edition, Eq. 6.14</t>
  </si>
  <si>
    <t>Computation of Vertical Clear-Water Contraction Scour</t>
  </si>
  <si>
    <t>Vertical Clear-Water Contraction Scour</t>
  </si>
  <si>
    <t>diameter of the smallest non-transportable particle in the bed material in the contracted section</t>
  </si>
  <si>
    <t>bottom width of the contracted section less pier widths</t>
  </si>
  <si>
    <t>Computation of Vertical Live-Bed Contraction Scour with Overtopping</t>
  </si>
  <si>
    <r>
      <t>h</t>
    </r>
    <r>
      <rPr>
        <vertAlign val="subscript"/>
        <sz val="10"/>
        <rFont val="Arial"/>
        <family val="2"/>
      </rPr>
      <t>ue</t>
    </r>
    <r>
      <rPr>
        <sz val="10"/>
        <rFont val="Arial"/>
        <family val="2"/>
      </rPr>
      <t xml:space="preserve"> = h</t>
    </r>
    <r>
      <rPr>
        <vertAlign val="subscript"/>
        <sz val="10"/>
        <rFont val="Arial"/>
        <family val="2"/>
      </rPr>
      <t>b</t>
    </r>
    <r>
      <rPr>
        <sz val="10"/>
        <rFont val="Arial"/>
        <family val="2"/>
      </rPr>
      <t xml:space="preserve"> + T</t>
    </r>
  </si>
  <si>
    <r>
      <t>h</t>
    </r>
    <r>
      <rPr>
        <vertAlign val="subscript"/>
        <sz val="10"/>
        <rFont val="Arial"/>
        <family val="2"/>
      </rPr>
      <t>ue</t>
    </r>
    <r>
      <rPr>
        <sz val="10"/>
        <rFont val="Arial"/>
        <family val="2"/>
      </rPr>
      <t/>
    </r>
  </si>
  <si>
    <r>
      <t>Q</t>
    </r>
    <r>
      <rPr>
        <vertAlign val="subscript"/>
        <sz val="10"/>
        <rFont val="Arial"/>
        <family val="2"/>
      </rPr>
      <t>ue</t>
    </r>
    <r>
      <rPr>
        <sz val="10"/>
        <rFont val="Arial"/>
        <family val="2"/>
      </rPr>
      <t xml:space="preserve"> = Q</t>
    </r>
    <r>
      <rPr>
        <vertAlign val="subscript"/>
        <sz val="10"/>
        <rFont val="Arial"/>
        <family val="2"/>
      </rPr>
      <t>1</t>
    </r>
    <r>
      <rPr>
        <sz val="10"/>
        <rFont val="Arial"/>
        <family val="2"/>
      </rPr>
      <t xml:space="preserve"> (h</t>
    </r>
    <r>
      <rPr>
        <vertAlign val="subscript"/>
        <sz val="10"/>
        <rFont val="Arial"/>
        <family val="2"/>
      </rPr>
      <t>ue</t>
    </r>
    <r>
      <rPr>
        <sz val="10"/>
        <rFont val="Arial"/>
        <family val="2"/>
      </rPr>
      <t>/h</t>
    </r>
    <r>
      <rPr>
        <vertAlign val="subscript"/>
        <sz val="10"/>
        <rFont val="Arial"/>
        <family val="2"/>
      </rPr>
      <t>u</t>
    </r>
    <r>
      <rPr>
        <sz val="10"/>
        <rFont val="Arial"/>
        <family val="2"/>
      </rPr>
      <t>)</t>
    </r>
    <r>
      <rPr>
        <vertAlign val="superscript"/>
        <sz val="10"/>
        <rFont val="Arial"/>
        <family val="2"/>
      </rPr>
      <t>8/7</t>
    </r>
  </si>
  <si>
    <t>See HEC-18, Fifth Edition, Eq. 6.15</t>
  </si>
  <si>
    <r>
      <t>Q</t>
    </r>
    <r>
      <rPr>
        <vertAlign val="subscript"/>
        <sz val="10"/>
        <rFont val="Arial"/>
        <family val="2"/>
      </rPr>
      <t>ue</t>
    </r>
    <r>
      <rPr>
        <sz val="10"/>
        <rFont val="Arial"/>
        <family val="2"/>
      </rPr>
      <t/>
    </r>
  </si>
  <si>
    <t xml:space="preserve"> </t>
  </si>
  <si>
    <t>FHWA Hydraulic Engineering Circular No. 18, Fifth Edition, Chapter 8</t>
  </si>
  <si>
    <r>
      <t>Note</t>
    </r>
    <r>
      <rPr>
        <sz val="10"/>
        <rFont val="Arial"/>
        <family val="2"/>
      </rPr>
      <t>: Some minor additions to variable definitions from the HEC-RAS HRM are noted in parentheses.</t>
    </r>
  </si>
  <si>
    <t>Froehlich's Equation</t>
  </si>
  <si>
    <t>scour depth</t>
  </si>
  <si>
    <r>
      <t>K</t>
    </r>
    <r>
      <rPr>
        <vertAlign val="subscript"/>
        <sz val="10"/>
        <rFont val="Arial"/>
        <family val="2"/>
      </rPr>
      <t>1</t>
    </r>
  </si>
  <si>
    <t>coefficient for abutment shape (HEC-18, Fifth Ed., Table 8.1; HEC-RAS HRM Table 10-4)</t>
  </si>
  <si>
    <r>
      <t>K</t>
    </r>
    <r>
      <rPr>
        <vertAlign val="subscript"/>
        <sz val="10"/>
        <rFont val="Arial"/>
        <family val="2"/>
      </rPr>
      <t>2</t>
    </r>
  </si>
  <si>
    <t xml:space="preserve">coefficient for angle of embankment to flow </t>
  </si>
  <si>
    <r>
      <t xml:space="preserve">See HEC-18, Fifth Ed., Figure 8.5 for definition of </t>
    </r>
    <r>
      <rPr>
        <sz val="10"/>
        <rFont val="Symbol"/>
        <family val="1"/>
        <charset val="2"/>
      </rPr>
      <t>q</t>
    </r>
    <r>
      <rPr>
        <sz val="10"/>
        <rFont val="Arial"/>
        <family val="2"/>
      </rPr>
      <t>.</t>
    </r>
  </si>
  <si>
    <r>
      <t>q</t>
    </r>
    <r>
      <rPr>
        <sz val="10"/>
        <rFont val="Arial"/>
        <family val="2"/>
      </rPr>
      <t xml:space="preserve"> = 90 when abutments are perpendicular to the flow</t>
    </r>
  </si>
  <si>
    <r>
      <t>q</t>
    </r>
    <r>
      <rPr>
        <sz val="10"/>
        <rFont val="Arial"/>
        <family val="2"/>
      </rPr>
      <t xml:space="preserve"> &lt; 90 if embankment points downstream, and</t>
    </r>
  </si>
  <si>
    <r>
      <t>q</t>
    </r>
    <r>
      <rPr>
        <sz val="10"/>
        <rFont val="Arial"/>
        <family val="2"/>
      </rPr>
      <t xml:space="preserve"> &gt; 90 if embankment points upstream</t>
    </r>
  </si>
  <si>
    <t>L'</t>
  </si>
  <si>
    <t>length of active flow obstructed by the embankment</t>
  </si>
  <si>
    <r>
      <t>y</t>
    </r>
    <r>
      <rPr>
        <vertAlign val="subscript"/>
        <sz val="10"/>
        <rFont val="Arial"/>
        <family val="2"/>
      </rPr>
      <t>a</t>
    </r>
  </si>
  <si>
    <t>average depth of flow on the flooplain (at the approach section)</t>
  </si>
  <si>
    <t>L</t>
  </si>
  <si>
    <t>length of embankment projected normal to the flow</t>
  </si>
  <si>
    <t>Fr</t>
  </si>
  <si>
    <r>
      <t>Froude number of approach flow upstream of the abutment, Fr = V</t>
    </r>
    <r>
      <rPr>
        <vertAlign val="subscript"/>
        <sz val="10"/>
        <rFont val="Arial"/>
        <family val="2"/>
      </rPr>
      <t>e</t>
    </r>
    <r>
      <rPr>
        <sz val="10"/>
        <rFont val="Arial"/>
        <family val="2"/>
      </rPr>
      <t>/(gy</t>
    </r>
    <r>
      <rPr>
        <vertAlign val="subscript"/>
        <sz val="10"/>
        <rFont val="Arial"/>
        <family val="2"/>
      </rPr>
      <t>a</t>
    </r>
    <r>
      <rPr>
        <sz val="10"/>
        <rFont val="Arial"/>
        <family val="2"/>
      </rPr>
      <t>)</t>
    </r>
    <r>
      <rPr>
        <vertAlign val="superscript"/>
        <sz val="10"/>
        <rFont val="Arial"/>
        <family val="2"/>
      </rPr>
      <t>1/2</t>
    </r>
  </si>
  <si>
    <r>
      <t>V</t>
    </r>
    <r>
      <rPr>
        <vertAlign val="subscript"/>
        <sz val="10"/>
        <rFont val="Arial"/>
        <family val="2"/>
      </rPr>
      <t>e</t>
    </r>
  </si>
  <si>
    <r>
      <t>average velocity of the approach flow, V</t>
    </r>
    <r>
      <rPr>
        <vertAlign val="subscript"/>
        <sz val="10"/>
        <rFont val="Arial"/>
        <family val="2"/>
      </rPr>
      <t>e</t>
    </r>
    <r>
      <rPr>
        <sz val="10"/>
        <rFont val="Arial"/>
        <family val="2"/>
      </rPr>
      <t xml:space="preserve"> = Q</t>
    </r>
    <r>
      <rPr>
        <vertAlign val="subscript"/>
        <sz val="10"/>
        <rFont val="Arial"/>
        <family val="2"/>
      </rPr>
      <t>e</t>
    </r>
    <r>
      <rPr>
        <sz val="10"/>
        <rFont val="Arial"/>
        <family val="2"/>
      </rPr>
      <t>/A</t>
    </r>
    <r>
      <rPr>
        <vertAlign val="subscript"/>
        <sz val="10"/>
        <rFont val="Arial"/>
        <family val="2"/>
      </rPr>
      <t>e</t>
    </r>
  </si>
  <si>
    <r>
      <t>Q</t>
    </r>
    <r>
      <rPr>
        <vertAlign val="subscript"/>
        <sz val="10"/>
        <rFont val="Arial"/>
        <family val="2"/>
      </rPr>
      <t>e</t>
    </r>
  </si>
  <si>
    <t>flow obstructed by the abutment and approach embankment (at the approach section)</t>
  </si>
  <si>
    <r>
      <t>A</t>
    </r>
    <r>
      <rPr>
        <vertAlign val="subscript"/>
        <sz val="10"/>
        <rFont val="Arial"/>
        <family val="2"/>
      </rPr>
      <t>e</t>
    </r>
  </si>
  <si>
    <r>
      <t>ft</t>
    </r>
    <r>
      <rPr>
        <vertAlign val="superscript"/>
        <sz val="10"/>
        <rFont val="Arial"/>
        <family val="2"/>
      </rPr>
      <t>2</t>
    </r>
  </si>
  <si>
    <t>flow area of the approach cross section obstructed by the abutment and embankment</t>
  </si>
  <si>
    <r>
      <t>y</t>
    </r>
    <r>
      <rPr>
        <vertAlign val="subscript"/>
        <sz val="10"/>
        <rFont val="Arial"/>
        <family val="2"/>
      </rPr>
      <t>s</t>
    </r>
    <r>
      <rPr>
        <sz val="10"/>
        <rFont val="Arial"/>
        <family val="2"/>
      </rPr>
      <t xml:space="preserve"> = 2.27K</t>
    </r>
    <r>
      <rPr>
        <vertAlign val="subscript"/>
        <sz val="10"/>
        <rFont val="Arial"/>
        <family val="2"/>
      </rPr>
      <t>1</t>
    </r>
    <r>
      <rPr>
        <sz val="10"/>
        <rFont val="Arial"/>
        <family val="2"/>
      </rPr>
      <t>K</t>
    </r>
    <r>
      <rPr>
        <vertAlign val="subscript"/>
        <sz val="10"/>
        <rFont val="Arial"/>
        <family val="2"/>
      </rPr>
      <t>2</t>
    </r>
    <r>
      <rPr>
        <sz val="10"/>
        <rFont val="Arial"/>
        <family val="2"/>
      </rPr>
      <t>(L')</t>
    </r>
    <r>
      <rPr>
        <vertAlign val="superscript"/>
        <sz val="10"/>
        <rFont val="Arial"/>
        <family val="2"/>
      </rPr>
      <t>0.43</t>
    </r>
    <r>
      <rPr>
        <sz val="10"/>
        <rFont val="Arial"/>
        <family val="2"/>
      </rPr>
      <t>y</t>
    </r>
    <r>
      <rPr>
        <vertAlign val="subscript"/>
        <sz val="10"/>
        <rFont val="Arial"/>
        <family val="2"/>
      </rPr>
      <t>a</t>
    </r>
    <r>
      <rPr>
        <vertAlign val="superscript"/>
        <sz val="10"/>
        <rFont val="Arial"/>
        <family val="2"/>
      </rPr>
      <t>0.57</t>
    </r>
    <r>
      <rPr>
        <sz val="10"/>
        <rFont val="Arial"/>
        <family val="2"/>
      </rPr>
      <t>Fr</t>
    </r>
    <r>
      <rPr>
        <vertAlign val="superscript"/>
        <sz val="10"/>
        <rFont val="Arial"/>
        <family val="2"/>
      </rPr>
      <t>0.61</t>
    </r>
    <r>
      <rPr>
        <sz val="10"/>
        <rFont val="Arial"/>
        <family val="2"/>
      </rPr>
      <t xml:space="preserve"> + y</t>
    </r>
    <r>
      <rPr>
        <vertAlign val="subscript"/>
        <sz val="10"/>
        <rFont val="Arial"/>
        <family val="2"/>
      </rPr>
      <t>a</t>
    </r>
  </si>
  <si>
    <t>See HEC-18, Fifth Edition, Eq. 8.1, p. 8.7</t>
  </si>
  <si>
    <r>
      <t xml:space="preserve">   K</t>
    </r>
    <r>
      <rPr>
        <vertAlign val="subscript"/>
        <sz val="10"/>
        <rFont val="Arial"/>
        <family val="2"/>
      </rPr>
      <t>2</t>
    </r>
    <r>
      <rPr>
        <sz val="10"/>
        <rFont val="Arial"/>
        <family val="2"/>
      </rPr>
      <t xml:space="preserve"> = (</t>
    </r>
    <r>
      <rPr>
        <sz val="10"/>
        <rFont val="Symbol"/>
        <family val="1"/>
        <charset val="2"/>
      </rPr>
      <t>q</t>
    </r>
    <r>
      <rPr>
        <sz val="10"/>
        <rFont val="Arial"/>
        <family val="2"/>
      </rPr>
      <t>/90)</t>
    </r>
    <r>
      <rPr>
        <vertAlign val="superscript"/>
        <sz val="10"/>
        <rFont val="Arial"/>
        <family val="2"/>
      </rPr>
      <t>0.13</t>
    </r>
  </si>
  <si>
    <t>See HEC-18, Fifth Edition, p. 8.7</t>
  </si>
  <si>
    <t>RIVER-1</t>
  </si>
  <si>
    <t>Profiles:</t>
  </si>
  <si>
    <t>See Below</t>
  </si>
  <si>
    <t>Bridge at RS 1663; Upstream Section RS 1690</t>
  </si>
  <si>
    <t>Applicability:</t>
  </si>
  <si>
    <t>L = length of embankment projected normal to the flow</t>
  </si>
  <si>
    <r>
      <t>y</t>
    </r>
    <r>
      <rPr>
        <vertAlign val="subscript"/>
        <sz val="10"/>
        <rFont val="Arial"/>
        <family val="2"/>
      </rPr>
      <t>1</t>
    </r>
    <r>
      <rPr>
        <sz val="10"/>
        <rFont val="Arial"/>
        <family val="2"/>
      </rPr>
      <t xml:space="preserve"> =  flow depth at abutment</t>
    </r>
  </si>
  <si>
    <r>
      <t>HIRE Equation applicable if L/y</t>
    </r>
    <r>
      <rPr>
        <vertAlign val="subscript"/>
        <sz val="10"/>
        <rFont val="Arial"/>
        <family val="2"/>
      </rPr>
      <t>1</t>
    </r>
    <r>
      <rPr>
        <sz val="10"/>
        <rFont val="Arial"/>
        <family val="2"/>
      </rPr>
      <t xml:space="preserve"> &gt; 25.</t>
    </r>
  </si>
  <si>
    <t>For 100-Year and LB Overtopping Events, flow is contained in the levee section and L is small.</t>
  </si>
  <si>
    <t>Froehlich Equation selected.</t>
  </si>
  <si>
    <t>Notes:</t>
  </si>
  <si>
    <t>See HEC-18, Fifth Edition, Section 8.2.2 for guidance on L, L'.</t>
  </si>
  <si>
    <t>Both left and right abutments encroach riverward from top of levees.</t>
  </si>
  <si>
    <t>Leftbank levee is lower than rightbank levee and overtops before water surface reaches right abutment.</t>
  </si>
  <si>
    <t>Abutment:</t>
  </si>
  <si>
    <t>Abutment (Local) Scour by Froehlich's Equation</t>
  </si>
  <si>
    <t>Left</t>
  </si>
  <si>
    <t>Right</t>
  </si>
  <si>
    <t>See HEC-18, Fifth Edition, Table 8.1</t>
  </si>
  <si>
    <t>See equation below</t>
  </si>
  <si>
    <t>q</t>
  </si>
  <si>
    <t>degrees</t>
  </si>
  <si>
    <t>LB abutment encroachment for 100-year event</t>
  </si>
  <si>
    <t>Used depth of flow at left abutment</t>
  </si>
  <si>
    <t>From Flow Distribution Output, RS 1690</t>
  </si>
  <si>
    <t>--</t>
  </si>
  <si>
    <r>
      <t xml:space="preserve">   Fr = V</t>
    </r>
    <r>
      <rPr>
        <vertAlign val="subscript"/>
        <sz val="10"/>
        <rFont val="Arial"/>
        <family val="2"/>
      </rPr>
      <t>e</t>
    </r>
    <r>
      <rPr>
        <sz val="10"/>
        <rFont val="Arial"/>
        <family val="2"/>
      </rPr>
      <t>/(gy</t>
    </r>
    <r>
      <rPr>
        <vertAlign val="subscript"/>
        <sz val="10"/>
        <rFont val="Arial"/>
        <family val="2"/>
      </rPr>
      <t>a</t>
    </r>
    <r>
      <rPr>
        <sz val="10"/>
        <rFont val="Arial"/>
        <family val="2"/>
      </rPr>
      <t>)</t>
    </r>
    <r>
      <rPr>
        <vertAlign val="superscript"/>
        <sz val="10"/>
        <rFont val="Arial"/>
        <family val="2"/>
      </rPr>
      <t>1/2</t>
    </r>
  </si>
  <si>
    <t>LB abutment encroachment inside levee</t>
  </si>
  <si>
    <t>HIRE Equation</t>
  </si>
  <si>
    <t>depth of flow at the abutment on the overbank or in the main channel,</t>
  </si>
  <si>
    <t>(taken at the cross section just upstream of the bridge)</t>
  </si>
  <si>
    <t>Froude number based on velocity and depth adjacent to and (just) upstream</t>
  </si>
  <si>
    <t>of the abutment (toe)</t>
  </si>
  <si>
    <r>
      <t>y</t>
    </r>
    <r>
      <rPr>
        <vertAlign val="subscript"/>
        <sz val="10"/>
        <rFont val="Arial"/>
        <family val="2"/>
      </rPr>
      <t>s</t>
    </r>
    <r>
      <rPr>
        <sz val="10"/>
        <rFont val="Arial"/>
        <family val="2"/>
      </rPr>
      <t xml:space="preserve"> = 4y</t>
    </r>
    <r>
      <rPr>
        <vertAlign val="subscript"/>
        <sz val="10"/>
        <rFont val="Arial"/>
        <family val="2"/>
      </rPr>
      <t>1</t>
    </r>
    <r>
      <rPr>
        <sz val="10"/>
        <rFont val="Arial"/>
        <family val="2"/>
      </rPr>
      <t>Fr</t>
    </r>
    <r>
      <rPr>
        <vertAlign val="superscript"/>
        <sz val="10"/>
        <rFont val="Arial"/>
        <family val="2"/>
      </rPr>
      <t>0.33</t>
    </r>
    <r>
      <rPr>
        <sz val="10"/>
        <rFont val="Arial"/>
        <family val="2"/>
      </rPr>
      <t>(K</t>
    </r>
    <r>
      <rPr>
        <vertAlign val="subscript"/>
        <sz val="10"/>
        <rFont val="Arial"/>
        <family val="2"/>
      </rPr>
      <t>1</t>
    </r>
    <r>
      <rPr>
        <sz val="10"/>
        <rFont val="Arial"/>
        <family val="2"/>
      </rPr>
      <t>/0.55)K</t>
    </r>
    <r>
      <rPr>
        <vertAlign val="subscript"/>
        <sz val="10"/>
        <rFont val="Arial"/>
        <family val="2"/>
      </rPr>
      <t>2</t>
    </r>
    <r>
      <rPr>
        <sz val="10"/>
        <rFont val="Arial"/>
        <family val="2"/>
      </rPr>
      <t/>
    </r>
  </si>
  <si>
    <t>See HEC-18, Fifth Edition, Eq. 8.2, p. 8.7</t>
  </si>
  <si>
    <t>Abutment (Local) Scour by HIRE Equation</t>
  </si>
  <si>
    <r>
      <t>Fr</t>
    </r>
    <r>
      <rPr>
        <vertAlign val="subscript"/>
        <sz val="10"/>
        <rFont val="Arial"/>
        <family val="2"/>
      </rPr>
      <t>1</t>
    </r>
  </si>
  <si>
    <r>
      <t xml:space="preserve">   Fr</t>
    </r>
    <r>
      <rPr>
        <sz val="10"/>
        <rFont val="Arial"/>
        <family val="2"/>
      </rPr>
      <t xml:space="preserve"> = V/(gy)</t>
    </r>
    <r>
      <rPr>
        <vertAlign val="superscript"/>
        <sz val="10"/>
        <rFont val="Arial"/>
        <family val="2"/>
      </rPr>
      <t>1/2</t>
    </r>
  </si>
  <si>
    <t>Computation of Bend Scour</t>
  </si>
  <si>
    <t>FHWA. 2009. Hydraulic Engineering Circular No. 23 Third Edition, Volume 1 Chapter 4</t>
  </si>
  <si>
    <t>Maynord's method for estimating scour depth at bend:</t>
  </si>
  <si>
    <t>FOR REFERENCE ONLY</t>
  </si>
  <si>
    <r>
      <t>R</t>
    </r>
    <r>
      <rPr>
        <vertAlign val="subscript"/>
        <sz val="10"/>
        <rFont val="Arial"/>
        <family val="2"/>
      </rPr>
      <t>c</t>
    </r>
  </si>
  <si>
    <t>Centerline radius of the bend</t>
  </si>
  <si>
    <r>
      <t>D</t>
    </r>
    <r>
      <rPr>
        <vertAlign val="subscript"/>
        <sz val="10"/>
        <rFont val="Arial"/>
        <family val="2"/>
      </rPr>
      <t>mxb</t>
    </r>
  </si>
  <si>
    <r>
      <t>D</t>
    </r>
    <r>
      <rPr>
        <vertAlign val="subscript"/>
        <sz val="10"/>
        <rFont val="Arial"/>
        <family val="2"/>
      </rPr>
      <t>mnc</t>
    </r>
  </si>
  <si>
    <r>
      <t>R</t>
    </r>
    <r>
      <rPr>
        <vertAlign val="subscript"/>
        <sz val="10"/>
        <rFont val="Arial"/>
        <family val="2"/>
      </rPr>
      <t>c</t>
    </r>
    <r>
      <rPr>
        <sz val="10"/>
        <rFont val="Arial"/>
        <family val="2"/>
      </rPr>
      <t>/W =</t>
    </r>
  </si>
  <si>
    <t>Dmxb =</t>
  </si>
  <si>
    <t>NCHRP 24-20 Abutment Scour Equation</t>
  </si>
  <si>
    <r>
      <t>y</t>
    </r>
    <r>
      <rPr>
        <vertAlign val="subscript"/>
        <sz val="10"/>
        <rFont val="Arial"/>
        <family val="2"/>
      </rPr>
      <t>max</t>
    </r>
  </si>
  <si>
    <t>maximum flow depth resulting from abutment scour</t>
  </si>
  <si>
    <r>
      <t>y</t>
    </r>
    <r>
      <rPr>
        <vertAlign val="subscript"/>
        <sz val="10"/>
        <rFont val="Arial"/>
        <family val="2"/>
      </rPr>
      <t>c</t>
    </r>
  </si>
  <si>
    <t>flow depth including live-bed or clear-water contraction scour</t>
  </si>
  <si>
    <r>
      <rPr>
        <sz val="10"/>
        <rFont val="Symbol"/>
        <family val="1"/>
        <charset val="2"/>
      </rPr>
      <t>a</t>
    </r>
    <r>
      <rPr>
        <vertAlign val="subscript"/>
        <sz val="10"/>
        <rFont val="Arial"/>
        <family val="2"/>
      </rPr>
      <t>A</t>
    </r>
  </si>
  <si>
    <t>amplification factor for live-bed conditions</t>
  </si>
  <si>
    <t>abutment scour depth</t>
  </si>
  <si>
    <t>flow depth prior to scour</t>
  </si>
  <si>
    <r>
      <t>y</t>
    </r>
    <r>
      <rPr>
        <vertAlign val="subscript"/>
        <sz val="10"/>
        <rFont val="Arial"/>
        <family val="2"/>
      </rPr>
      <t>max</t>
    </r>
    <r>
      <rPr>
        <sz val="10"/>
        <rFont val="Arial"/>
        <family val="2"/>
      </rPr>
      <t xml:space="preserve"> = </t>
    </r>
    <r>
      <rPr>
        <sz val="10"/>
        <rFont val="Symbol"/>
        <family val="1"/>
        <charset val="2"/>
      </rPr>
      <t>a</t>
    </r>
    <r>
      <rPr>
        <vertAlign val="subscript"/>
        <sz val="10"/>
        <rFont val="Arial"/>
        <family val="2"/>
      </rPr>
      <t>A</t>
    </r>
    <r>
      <rPr>
        <sz val="10"/>
        <rFont val="Arial"/>
        <family val="2"/>
      </rPr>
      <t>y</t>
    </r>
    <r>
      <rPr>
        <vertAlign val="subscript"/>
        <sz val="10"/>
        <rFont val="Arial"/>
        <family val="2"/>
      </rPr>
      <t>c</t>
    </r>
    <r>
      <rPr>
        <sz val="10"/>
        <rFont val="Arial"/>
        <family val="2"/>
      </rPr>
      <t/>
    </r>
  </si>
  <si>
    <t>See HEC-18, Fifth Edition, Eq. 8.3 (Live-Bed), p. 8.8</t>
  </si>
  <si>
    <r>
      <t>y</t>
    </r>
    <r>
      <rPr>
        <vertAlign val="subscript"/>
        <sz val="10"/>
        <rFont val="Arial"/>
        <family val="2"/>
      </rPr>
      <t>s</t>
    </r>
    <r>
      <rPr>
        <sz val="10"/>
        <rFont val="Arial"/>
        <family val="2"/>
      </rPr>
      <t xml:space="preserve"> = y</t>
    </r>
    <r>
      <rPr>
        <vertAlign val="subscript"/>
        <sz val="10"/>
        <rFont val="Arial"/>
        <family val="2"/>
      </rPr>
      <t>max</t>
    </r>
    <r>
      <rPr>
        <sz val="10"/>
        <rFont val="Arial"/>
        <family val="2"/>
      </rPr>
      <t xml:space="preserve"> - y</t>
    </r>
    <r>
      <rPr>
        <vertAlign val="subscript"/>
        <sz val="10"/>
        <rFont val="Arial"/>
        <family val="2"/>
      </rPr>
      <t>0</t>
    </r>
  </si>
  <si>
    <t>See HEC-18, Fifth Edition, Eq. 8.4, p. 8.8</t>
  </si>
  <si>
    <t>For Live-Bed Conditions:</t>
  </si>
  <si>
    <t>See Discussion in HEC-18, Fifth Edition, p. 8.10</t>
  </si>
  <si>
    <r>
      <t>y</t>
    </r>
    <r>
      <rPr>
        <vertAlign val="subscript"/>
        <sz val="10"/>
        <rFont val="Arial"/>
        <family val="2"/>
      </rPr>
      <t>c</t>
    </r>
    <r>
      <rPr>
        <sz val="10"/>
        <rFont val="Arial"/>
        <family val="2"/>
      </rPr>
      <t xml:space="preserve"> = y</t>
    </r>
    <r>
      <rPr>
        <vertAlign val="subscript"/>
        <sz val="10"/>
        <rFont val="Arial"/>
        <family val="2"/>
      </rPr>
      <t>1</t>
    </r>
    <r>
      <rPr>
        <sz val="10"/>
        <rFont val="Arial"/>
        <family val="2"/>
      </rPr>
      <t>(q</t>
    </r>
    <r>
      <rPr>
        <vertAlign val="subscript"/>
        <sz val="10"/>
        <rFont val="Arial"/>
        <family val="2"/>
      </rPr>
      <t>2c</t>
    </r>
    <r>
      <rPr>
        <sz val="10"/>
        <rFont val="Arial"/>
        <family val="2"/>
      </rPr>
      <t>/q</t>
    </r>
    <r>
      <rPr>
        <vertAlign val="subscript"/>
        <sz val="10"/>
        <rFont val="Arial"/>
        <family val="2"/>
      </rPr>
      <t>1</t>
    </r>
    <r>
      <rPr>
        <sz val="10"/>
        <rFont val="Arial"/>
        <family val="2"/>
      </rPr>
      <t>)</t>
    </r>
    <r>
      <rPr>
        <vertAlign val="superscript"/>
        <sz val="10"/>
        <rFont val="Arial"/>
        <family val="2"/>
      </rPr>
      <t>6/7</t>
    </r>
  </si>
  <si>
    <t>See HEC-18, Fifth Edition, Eq. 8.5, p. 8.10</t>
  </si>
  <si>
    <t>upstream flow depth</t>
  </si>
  <si>
    <r>
      <t>q</t>
    </r>
    <r>
      <rPr>
        <vertAlign val="subscript"/>
        <sz val="10"/>
        <rFont val="Arial"/>
        <family val="2"/>
      </rPr>
      <t>2c</t>
    </r>
  </si>
  <si>
    <r>
      <t>ft</t>
    </r>
    <r>
      <rPr>
        <vertAlign val="superscript"/>
        <sz val="10"/>
        <rFont val="Arial"/>
        <family val="2"/>
      </rPr>
      <t>2</t>
    </r>
    <r>
      <rPr>
        <sz val="10"/>
        <rFont val="Arial"/>
        <family val="2"/>
      </rPr>
      <t>/s</t>
    </r>
  </si>
  <si>
    <t>unit discharge in the constricted opening accounting for non-uniform flow distribution</t>
  </si>
  <si>
    <r>
      <t>q</t>
    </r>
    <r>
      <rPr>
        <vertAlign val="subscript"/>
        <sz val="10"/>
        <rFont val="Arial"/>
        <family val="2"/>
      </rPr>
      <t>1</t>
    </r>
  </si>
  <si>
    <t>upstream unit discharge</t>
  </si>
  <si>
    <t>Condition:</t>
  </si>
  <si>
    <t>Spill-Through or Wingwall (Vertical)</t>
  </si>
  <si>
    <t>100-Year</t>
  </si>
  <si>
    <t>500-Year</t>
  </si>
  <si>
    <t>See HEC-18, Fifth Edition, Figure 8.9 or 8.10</t>
  </si>
  <si>
    <t>I'm</t>
  </si>
  <si>
    <t xml:space="preserve">Total Scour at Abutment </t>
  </si>
  <si>
    <t>(Contraction + Local)</t>
  </si>
  <si>
    <t>(See HEC-18, Fifth Ed., p. 8.8)</t>
  </si>
  <si>
    <r>
      <rPr>
        <sz val="10"/>
        <rFont val="Symbol"/>
        <family val="1"/>
        <charset val="2"/>
      </rPr>
      <t>a</t>
    </r>
    <r>
      <rPr>
        <vertAlign val="subscript"/>
        <sz val="10"/>
        <rFont val="Arial"/>
        <family val="2"/>
      </rPr>
      <t>B</t>
    </r>
  </si>
  <si>
    <t>amplification factor for clear-water conditions</t>
  </si>
  <si>
    <r>
      <t>y</t>
    </r>
    <r>
      <rPr>
        <vertAlign val="subscript"/>
        <sz val="10"/>
        <rFont val="Arial"/>
        <family val="2"/>
      </rPr>
      <t>max</t>
    </r>
    <r>
      <rPr>
        <sz val="10"/>
        <rFont val="Arial"/>
        <family val="2"/>
      </rPr>
      <t xml:space="preserve"> = </t>
    </r>
    <r>
      <rPr>
        <sz val="10"/>
        <rFont val="Symbol"/>
        <family val="1"/>
        <charset val="2"/>
      </rPr>
      <t>a</t>
    </r>
    <r>
      <rPr>
        <vertAlign val="subscript"/>
        <sz val="10"/>
        <rFont val="Arial"/>
        <family val="2"/>
      </rPr>
      <t>B</t>
    </r>
    <r>
      <rPr>
        <sz val="10"/>
        <rFont val="Arial"/>
        <family val="2"/>
      </rPr>
      <t>y</t>
    </r>
    <r>
      <rPr>
        <vertAlign val="subscript"/>
        <sz val="10"/>
        <rFont val="Arial"/>
        <family val="2"/>
      </rPr>
      <t>c</t>
    </r>
  </si>
  <si>
    <t>See HEC-18, Fifth Edition, Eq. 8.3 (Clear-Water), p. 8.8</t>
  </si>
  <si>
    <t>For Clear-Water Conditions:</t>
  </si>
  <si>
    <r>
      <t>y</t>
    </r>
    <r>
      <rPr>
        <vertAlign val="subscript"/>
        <sz val="10"/>
        <rFont val="Arial"/>
        <family val="2"/>
      </rPr>
      <t>c</t>
    </r>
    <r>
      <rPr>
        <sz val="10"/>
        <rFont val="Arial"/>
        <family val="2"/>
      </rPr>
      <t xml:space="preserve"> = (q</t>
    </r>
    <r>
      <rPr>
        <vertAlign val="subscript"/>
        <sz val="10"/>
        <rFont val="Arial"/>
        <family val="2"/>
      </rPr>
      <t>2f</t>
    </r>
    <r>
      <rPr>
        <sz val="10"/>
        <rFont val="Arial"/>
        <family val="2"/>
      </rPr>
      <t>/(K</t>
    </r>
    <r>
      <rPr>
        <vertAlign val="subscript"/>
        <sz val="10"/>
        <rFont val="Arial"/>
        <family val="2"/>
      </rPr>
      <t>u</t>
    </r>
    <r>
      <rPr>
        <sz val="10"/>
        <rFont val="Arial"/>
        <family val="2"/>
      </rPr>
      <t>D</t>
    </r>
    <r>
      <rPr>
        <vertAlign val="subscript"/>
        <sz val="10"/>
        <rFont val="Arial"/>
        <family val="2"/>
      </rPr>
      <t>50</t>
    </r>
    <r>
      <rPr>
        <vertAlign val="superscript"/>
        <sz val="10"/>
        <rFont val="Arial"/>
        <family val="2"/>
      </rPr>
      <t>1/3</t>
    </r>
    <r>
      <rPr>
        <sz val="10"/>
        <rFont val="Arial"/>
        <family val="2"/>
      </rPr>
      <t>))</t>
    </r>
    <r>
      <rPr>
        <vertAlign val="superscript"/>
        <sz val="10"/>
        <rFont val="Arial"/>
        <family val="2"/>
      </rPr>
      <t>6/7</t>
    </r>
  </si>
  <si>
    <t>See HEC-18, Fifth Edition, Eq. 8.6, p. 8.12</t>
  </si>
  <si>
    <r>
      <t>q</t>
    </r>
    <r>
      <rPr>
        <vertAlign val="subscript"/>
        <sz val="10"/>
        <rFont val="Arial"/>
        <family val="2"/>
      </rPr>
      <t>2f</t>
    </r>
  </si>
  <si>
    <t>particle size with 50% finer</t>
  </si>
  <si>
    <t>(Lower limit of particle size of 0.2 mm is reasonable; see HEC-18, Fifth Ed., p. 8.13.)</t>
  </si>
  <si>
    <t>For Clear-Water conditions with Known Critical Shear Stress:</t>
  </si>
  <si>
    <t>See HEC-18, Fifth Ed., Eq. 8.7, p. 8.13 (Equation not shown or calculated here)</t>
  </si>
  <si>
    <t>See HEC-18, Fifth Edition, Figure 8.11 or 8.12</t>
  </si>
  <si>
    <t>Computation of Local Scour at Piers</t>
  </si>
  <si>
    <t>FHWA Hydraulic Engineering Circular No. 18, Fifth Edition, Chapter 7</t>
  </si>
  <si>
    <t>FHWA NHI Course 135046: Stream Stability and Scour at Highway Bridges</t>
  </si>
  <si>
    <t>Participant's Workbook</t>
  </si>
  <si>
    <t>CSU Equation</t>
  </si>
  <si>
    <r>
      <t>y</t>
    </r>
    <r>
      <rPr>
        <vertAlign val="subscript"/>
        <sz val="10"/>
        <rFont val="Arial"/>
        <family val="2"/>
      </rPr>
      <t>s</t>
    </r>
    <r>
      <rPr>
        <sz val="10"/>
        <rFont val="Arial"/>
        <family val="2"/>
      </rPr>
      <t xml:space="preserve"> = 2.0K</t>
    </r>
    <r>
      <rPr>
        <vertAlign val="subscript"/>
        <sz val="10"/>
        <rFont val="Arial"/>
        <family val="2"/>
      </rPr>
      <t>1</t>
    </r>
    <r>
      <rPr>
        <sz val="10"/>
        <rFont val="Arial"/>
        <family val="2"/>
      </rPr>
      <t>K</t>
    </r>
    <r>
      <rPr>
        <vertAlign val="subscript"/>
        <sz val="10"/>
        <rFont val="Arial"/>
        <family val="2"/>
      </rPr>
      <t>2</t>
    </r>
    <r>
      <rPr>
        <sz val="10"/>
        <rFont val="Arial"/>
        <family val="2"/>
      </rPr>
      <t>K</t>
    </r>
    <r>
      <rPr>
        <vertAlign val="subscript"/>
        <sz val="10"/>
        <rFont val="Arial"/>
        <family val="2"/>
      </rPr>
      <t>3</t>
    </r>
    <r>
      <rPr>
        <sz val="10"/>
        <rFont val="Arial"/>
        <family val="2"/>
      </rPr>
      <t>a</t>
    </r>
    <r>
      <rPr>
        <vertAlign val="superscript"/>
        <sz val="10"/>
        <rFont val="Arial"/>
        <family val="2"/>
      </rPr>
      <t>0.65</t>
    </r>
    <r>
      <rPr>
        <sz val="10"/>
        <rFont val="Arial"/>
        <family val="2"/>
      </rPr>
      <t>y</t>
    </r>
    <r>
      <rPr>
        <vertAlign val="subscript"/>
        <sz val="10"/>
        <rFont val="Arial"/>
        <family val="2"/>
      </rPr>
      <t>1</t>
    </r>
    <r>
      <rPr>
        <vertAlign val="superscript"/>
        <sz val="10"/>
        <rFont val="Arial"/>
        <family val="2"/>
      </rPr>
      <t>0.35</t>
    </r>
    <r>
      <rPr>
        <sz val="10"/>
        <rFont val="Arial"/>
        <family val="2"/>
      </rPr>
      <t>Fr</t>
    </r>
    <r>
      <rPr>
        <vertAlign val="subscript"/>
        <sz val="10"/>
        <rFont val="Arial"/>
        <family val="2"/>
      </rPr>
      <t>1</t>
    </r>
    <r>
      <rPr>
        <vertAlign val="superscript"/>
        <sz val="10"/>
        <rFont val="Arial"/>
        <family val="2"/>
      </rPr>
      <t>0.43</t>
    </r>
  </si>
  <si>
    <t>depth of scour</t>
  </si>
  <si>
    <t>correction factor for pier nose shape</t>
  </si>
  <si>
    <t>correction factor for angle of attack of flow</t>
  </si>
  <si>
    <r>
      <t>K</t>
    </r>
    <r>
      <rPr>
        <vertAlign val="subscript"/>
        <sz val="10"/>
        <rFont val="Arial"/>
        <family val="2"/>
      </rPr>
      <t>3</t>
    </r>
  </si>
  <si>
    <t>correction factor for bed condition</t>
  </si>
  <si>
    <t>a</t>
  </si>
  <si>
    <t>pier width</t>
  </si>
  <si>
    <t>flow depth directly upstream of the pier</t>
  </si>
  <si>
    <t>Froude Number directly upstream of the pier</t>
  </si>
  <si>
    <r>
      <t>V</t>
    </r>
    <r>
      <rPr>
        <vertAlign val="subscript"/>
        <sz val="10"/>
        <rFont val="Arial"/>
        <family val="2"/>
      </rPr>
      <t>1</t>
    </r>
  </si>
  <si>
    <t>velocity directly upstream of the pier</t>
  </si>
  <si>
    <t>Multiplier</t>
  </si>
  <si>
    <t>Exponents</t>
  </si>
  <si>
    <t>MRL Br. 155</t>
  </si>
  <si>
    <t>FHWA HEC No. 18 - Fifth Edition, Chapter 7</t>
  </si>
  <si>
    <t>Gallatin River</t>
  </si>
  <si>
    <t>4mi SE Manhattan</t>
  </si>
  <si>
    <t>MDT_50yr, MDT_100yr, USGS_100yr</t>
  </si>
  <si>
    <t>2175 BR</t>
  </si>
  <si>
    <t>Flow Distribution:</t>
  </si>
  <si>
    <t>Global - 10, 20, 10 (SubSections in LOB, channel, ROB)</t>
  </si>
  <si>
    <t>See HEC 18 - Fifth Edition, p. 7.5, Note 1</t>
  </si>
  <si>
    <r>
      <t>By HEC 18 - 5</t>
    </r>
    <r>
      <rPr>
        <vertAlign val="superscript"/>
        <sz val="10"/>
        <rFont val="Arial"/>
        <family val="2"/>
      </rPr>
      <t>th</t>
    </r>
    <r>
      <rPr>
        <sz val="10"/>
        <rFont val="Arial"/>
        <family val="2"/>
      </rPr>
      <t xml:space="preserve"> Ed., Equation 7.4, </t>
    </r>
    <r>
      <rPr>
        <sz val="10"/>
        <rFont val="Symbol"/>
        <family val="1"/>
        <charset val="2"/>
      </rPr>
      <t>q</t>
    </r>
    <r>
      <rPr>
        <sz val="10"/>
        <rFont val="Arial"/>
        <family val="2"/>
      </rPr>
      <t xml:space="preserve"> = __º, L = __ ft, a =__</t>
    </r>
  </si>
  <si>
    <t>Clear-water, plane bed, or small dunes</t>
  </si>
  <si>
    <t xml:space="preserve">ft </t>
  </si>
  <si>
    <t>Maximum</t>
  </si>
  <si>
    <r>
      <t>Fr</t>
    </r>
    <r>
      <rPr>
        <vertAlign val="subscript"/>
        <sz val="10"/>
        <rFont val="Arial"/>
        <family val="2"/>
      </rPr>
      <t>1</t>
    </r>
    <r>
      <rPr>
        <sz val="10"/>
        <rFont val="Arial"/>
        <family val="2"/>
      </rPr>
      <t xml:space="preserve"> = V</t>
    </r>
    <r>
      <rPr>
        <vertAlign val="subscript"/>
        <sz val="10"/>
        <rFont val="Arial"/>
        <family val="2"/>
      </rPr>
      <t>1</t>
    </r>
    <r>
      <rPr>
        <sz val="10"/>
        <rFont val="Arial"/>
        <family val="2"/>
      </rPr>
      <t xml:space="preserve"> / (gy</t>
    </r>
    <r>
      <rPr>
        <vertAlign val="subscript"/>
        <sz val="10"/>
        <rFont val="Arial"/>
        <family val="2"/>
      </rPr>
      <t>1</t>
    </r>
    <r>
      <rPr>
        <sz val="10"/>
        <rFont val="Arial"/>
        <family val="2"/>
      </rPr>
      <t>)</t>
    </r>
    <r>
      <rPr>
        <vertAlign val="superscript"/>
        <sz val="10"/>
        <rFont val="Arial"/>
        <family val="2"/>
      </rPr>
      <t>0.5</t>
    </r>
  </si>
  <si>
    <t xml:space="preserve">If round nose pier, angle of attack = 0, </t>
  </si>
  <si>
    <r>
      <t>and Fr</t>
    </r>
    <r>
      <rPr>
        <vertAlign val="subscript"/>
        <sz val="10"/>
        <color indexed="23"/>
        <rFont val="Arial"/>
        <family val="2"/>
      </rPr>
      <t>1</t>
    </r>
    <r>
      <rPr>
        <sz val="10"/>
        <color indexed="23"/>
        <rFont val="Arial"/>
        <family val="2"/>
      </rPr>
      <t xml:space="preserve"> &lt;= 0.8</t>
    </r>
  </si>
  <si>
    <r>
      <t>then y</t>
    </r>
    <r>
      <rPr>
        <vertAlign val="subscript"/>
        <sz val="10"/>
        <color indexed="23"/>
        <rFont val="Arial"/>
        <family val="2"/>
      </rPr>
      <t>s max</t>
    </r>
    <r>
      <rPr>
        <sz val="10"/>
        <color indexed="23"/>
        <rFont val="Arial"/>
        <family val="2"/>
      </rPr>
      <t xml:space="preserve"> =</t>
    </r>
  </si>
  <si>
    <r>
      <t>and Fr</t>
    </r>
    <r>
      <rPr>
        <vertAlign val="subscript"/>
        <sz val="10"/>
        <color indexed="23"/>
        <rFont val="Arial"/>
        <family val="2"/>
      </rPr>
      <t>1</t>
    </r>
    <r>
      <rPr>
        <sz val="10"/>
        <color indexed="23"/>
        <rFont val="Arial"/>
        <family val="2"/>
      </rPr>
      <t xml:space="preserve"> &gt; 0.8</t>
    </r>
  </si>
  <si>
    <t>RS 2175 BR U Thalweg</t>
  </si>
  <si>
    <t>MDT 50-yr</t>
  </si>
  <si>
    <t>MDT 100-yr</t>
  </si>
  <si>
    <t>USGS 100-yr</t>
  </si>
  <si>
    <t>Bed material is very mobile. Maximum depths and velocities used.</t>
  </si>
  <si>
    <t>Use pier scour value of 12.1 ft.</t>
  </si>
  <si>
    <t>Complex Pier Scour</t>
  </si>
  <si>
    <t>Computation of Complex Scour at Piers</t>
  </si>
  <si>
    <t>Add USACE Reference?</t>
  </si>
  <si>
    <t>Superposition of Scour Components</t>
  </si>
  <si>
    <r>
      <t>HEC-18, 5</t>
    </r>
    <r>
      <rPr>
        <vertAlign val="superscript"/>
        <sz val="10"/>
        <rFont val="Arial"/>
        <family val="2"/>
      </rPr>
      <t>th</t>
    </r>
    <r>
      <rPr>
        <sz val="10"/>
        <rFont val="Arial"/>
        <family val="2"/>
      </rPr>
      <t xml:space="preserve"> Edition, Figure 7.5</t>
    </r>
  </si>
  <si>
    <t>f</t>
  </si>
  <si>
    <t>distance between front edge of pile cap or footing and pier</t>
  </si>
  <si>
    <r>
      <t>h</t>
    </r>
    <r>
      <rPr>
        <vertAlign val="subscript"/>
        <sz val="10"/>
        <rFont val="Arial"/>
        <family val="2"/>
      </rPr>
      <t>0</t>
    </r>
  </si>
  <si>
    <t>height of the pile cap above bed at beginning of computation</t>
  </si>
  <si>
    <r>
      <t>h</t>
    </r>
    <r>
      <rPr>
        <vertAlign val="subscript"/>
        <sz val="10"/>
        <rFont val="Arial"/>
        <family val="2"/>
      </rPr>
      <t>1</t>
    </r>
  </si>
  <si>
    <r>
      <t>h</t>
    </r>
    <r>
      <rPr>
        <vertAlign val="subscript"/>
        <sz val="10"/>
        <rFont val="Arial"/>
        <family val="2"/>
      </rPr>
      <t>0</t>
    </r>
    <r>
      <rPr>
        <sz val="10"/>
        <rFont val="Arial"/>
        <family val="2"/>
      </rPr>
      <t xml:space="preserve"> + T = height of the pier stem above the bed before scour</t>
    </r>
  </si>
  <si>
    <r>
      <t>h</t>
    </r>
    <r>
      <rPr>
        <vertAlign val="subscript"/>
        <sz val="10"/>
        <rFont val="Arial"/>
        <family val="2"/>
      </rPr>
      <t>2</t>
    </r>
  </si>
  <si>
    <r>
      <t>h</t>
    </r>
    <r>
      <rPr>
        <vertAlign val="subscript"/>
        <sz val="10"/>
        <rFont val="Arial"/>
        <family val="2"/>
      </rPr>
      <t>0</t>
    </r>
    <r>
      <rPr>
        <sz val="10"/>
        <rFont val="Arial"/>
        <family val="2"/>
      </rPr>
      <t xml:space="preserve"> + y</t>
    </r>
    <r>
      <rPr>
        <vertAlign val="subscript"/>
        <sz val="10"/>
        <rFont val="Arial"/>
        <family val="2"/>
      </rPr>
      <t>s pier</t>
    </r>
    <r>
      <rPr>
        <sz val="10"/>
        <rFont val="Arial"/>
        <family val="2"/>
      </rPr>
      <t>/2 = height of pile cap after pier stem scour component</t>
    </r>
  </si>
  <si>
    <t>has been computed</t>
  </si>
  <si>
    <r>
      <t>h</t>
    </r>
    <r>
      <rPr>
        <vertAlign val="subscript"/>
        <sz val="10"/>
        <rFont val="Arial"/>
        <family val="2"/>
      </rPr>
      <t>3</t>
    </r>
  </si>
  <si>
    <r>
      <t>h</t>
    </r>
    <r>
      <rPr>
        <vertAlign val="subscript"/>
        <sz val="10"/>
        <rFont val="Arial"/>
        <family val="2"/>
      </rPr>
      <t>0</t>
    </r>
    <r>
      <rPr>
        <sz val="10"/>
        <rFont val="Arial"/>
        <family val="2"/>
      </rPr>
      <t xml:space="preserve"> + y</t>
    </r>
    <r>
      <rPr>
        <vertAlign val="subscript"/>
        <sz val="10"/>
        <rFont val="Arial"/>
        <family val="2"/>
      </rPr>
      <t>s pier</t>
    </r>
    <r>
      <rPr>
        <sz val="10"/>
        <rFont val="Arial"/>
        <family val="2"/>
      </rPr>
      <t>/2 + y</t>
    </r>
    <r>
      <rPr>
        <vertAlign val="subscript"/>
        <sz val="10"/>
        <rFont val="Arial"/>
        <family val="2"/>
      </rPr>
      <t>s pc</t>
    </r>
    <r>
      <rPr>
        <sz val="10"/>
        <rFont val="Arial"/>
        <family val="2"/>
      </rPr>
      <t xml:space="preserve">/2 = height of pile group after the pier stem and </t>
    </r>
  </si>
  <si>
    <t>pile cap scour components have been computed</t>
  </si>
  <si>
    <t>S</t>
  </si>
  <si>
    <t>spacing between columns of piles, pile center to pile center</t>
  </si>
  <si>
    <t>thickness of pile cap or footing</t>
  </si>
  <si>
    <t>approach flow depth at the beginning of computations</t>
  </si>
  <si>
    <r>
      <t>y</t>
    </r>
    <r>
      <rPr>
        <vertAlign val="subscript"/>
        <sz val="10"/>
        <rFont val="Arial"/>
        <family val="2"/>
      </rPr>
      <t>1</t>
    </r>
    <r>
      <rPr>
        <sz val="10"/>
        <rFont val="Arial"/>
        <family val="2"/>
      </rPr>
      <t xml:space="preserve"> + y</t>
    </r>
    <r>
      <rPr>
        <vertAlign val="subscript"/>
        <sz val="10"/>
        <rFont val="Arial"/>
        <family val="2"/>
      </rPr>
      <t>s pier</t>
    </r>
    <r>
      <rPr>
        <sz val="10"/>
        <rFont val="Arial"/>
        <family val="2"/>
      </rPr>
      <t>/2 = adjusted flow depth for pile cap computations</t>
    </r>
  </si>
  <si>
    <r>
      <t>y</t>
    </r>
    <r>
      <rPr>
        <vertAlign val="subscript"/>
        <sz val="10"/>
        <rFont val="Arial"/>
        <family val="2"/>
      </rPr>
      <t>3</t>
    </r>
  </si>
  <si>
    <r>
      <t>y</t>
    </r>
    <r>
      <rPr>
        <vertAlign val="subscript"/>
        <sz val="10"/>
        <rFont val="Arial"/>
        <family val="2"/>
      </rPr>
      <t>1</t>
    </r>
    <r>
      <rPr>
        <sz val="10"/>
        <rFont val="Arial"/>
        <family val="2"/>
      </rPr>
      <t xml:space="preserve"> + y</t>
    </r>
    <r>
      <rPr>
        <vertAlign val="subscript"/>
        <sz val="10"/>
        <rFont val="Arial"/>
        <family val="2"/>
      </rPr>
      <t>s pier</t>
    </r>
    <r>
      <rPr>
        <sz val="10"/>
        <rFont val="Arial"/>
        <family val="2"/>
      </rPr>
      <t>/2 + y</t>
    </r>
    <r>
      <rPr>
        <vertAlign val="subscript"/>
        <sz val="10"/>
        <rFont val="Arial"/>
        <family val="2"/>
      </rPr>
      <t>s pc</t>
    </r>
    <r>
      <rPr>
        <sz val="10"/>
        <rFont val="Arial"/>
        <family val="2"/>
      </rPr>
      <t>/2 = adjusted flow depth for pile group computations</t>
    </r>
  </si>
  <si>
    <t>approach velocity used at the beginning of computations</t>
  </si>
  <si>
    <r>
      <t>V</t>
    </r>
    <r>
      <rPr>
        <vertAlign val="subscript"/>
        <sz val="10"/>
        <rFont val="Arial"/>
        <family val="2"/>
      </rPr>
      <t>2</t>
    </r>
  </si>
  <si>
    <r>
      <t>V</t>
    </r>
    <r>
      <rPr>
        <vertAlign val="subscript"/>
        <sz val="10"/>
        <rFont val="Arial"/>
        <family val="2"/>
      </rPr>
      <t>1</t>
    </r>
    <r>
      <rPr>
        <sz val="10"/>
        <rFont val="Arial"/>
        <family val="2"/>
      </rPr>
      <t>(y</t>
    </r>
    <r>
      <rPr>
        <vertAlign val="subscript"/>
        <sz val="10"/>
        <rFont val="Arial"/>
        <family val="2"/>
      </rPr>
      <t>1</t>
    </r>
    <r>
      <rPr>
        <sz val="10"/>
        <rFont val="Arial"/>
        <family val="2"/>
      </rPr>
      <t>/y</t>
    </r>
    <r>
      <rPr>
        <vertAlign val="subscript"/>
        <sz val="10"/>
        <rFont val="Arial"/>
        <family val="2"/>
      </rPr>
      <t>2</t>
    </r>
    <r>
      <rPr>
        <sz val="10"/>
        <rFont val="Arial"/>
        <family val="2"/>
      </rPr>
      <t>) = adjusted velocity for pile cap computations</t>
    </r>
  </si>
  <si>
    <r>
      <t>V</t>
    </r>
    <r>
      <rPr>
        <vertAlign val="subscript"/>
        <sz val="10"/>
        <rFont val="Arial"/>
        <family val="2"/>
      </rPr>
      <t>3</t>
    </r>
  </si>
  <si>
    <r>
      <t>V</t>
    </r>
    <r>
      <rPr>
        <vertAlign val="subscript"/>
        <sz val="10"/>
        <rFont val="Arial"/>
        <family val="2"/>
      </rPr>
      <t>1</t>
    </r>
    <r>
      <rPr>
        <sz val="10"/>
        <rFont val="Arial"/>
        <family val="2"/>
      </rPr>
      <t>(y</t>
    </r>
    <r>
      <rPr>
        <vertAlign val="subscript"/>
        <sz val="10"/>
        <rFont val="Arial"/>
        <family val="2"/>
      </rPr>
      <t>1</t>
    </r>
    <r>
      <rPr>
        <sz val="10"/>
        <rFont val="Arial"/>
        <family val="2"/>
      </rPr>
      <t>/y</t>
    </r>
    <r>
      <rPr>
        <vertAlign val="subscript"/>
        <sz val="10"/>
        <rFont val="Arial"/>
        <family val="2"/>
      </rPr>
      <t>3</t>
    </r>
    <r>
      <rPr>
        <sz val="10"/>
        <rFont val="Arial"/>
        <family val="2"/>
      </rPr>
      <t>) = adjusted velocity for pile group computations</t>
    </r>
  </si>
  <si>
    <r>
      <t>y</t>
    </r>
    <r>
      <rPr>
        <vertAlign val="subscript"/>
        <sz val="10"/>
        <rFont val="Arial"/>
        <family val="2"/>
      </rPr>
      <t>s</t>
    </r>
    <r>
      <rPr>
        <sz val="10"/>
        <rFont val="Arial"/>
        <family val="2"/>
      </rPr>
      <t xml:space="preserve"> = y</t>
    </r>
    <r>
      <rPr>
        <vertAlign val="subscript"/>
        <sz val="10"/>
        <rFont val="Arial"/>
        <family val="2"/>
      </rPr>
      <t>s pier</t>
    </r>
    <r>
      <rPr>
        <sz val="10"/>
        <rFont val="Arial"/>
        <family val="2"/>
      </rPr>
      <t xml:space="preserve"> + y</t>
    </r>
    <r>
      <rPr>
        <vertAlign val="subscript"/>
        <sz val="10"/>
        <rFont val="Arial"/>
        <family val="2"/>
      </rPr>
      <t>s pc</t>
    </r>
    <r>
      <rPr>
        <sz val="10"/>
        <rFont val="Arial"/>
        <family val="2"/>
      </rPr>
      <t xml:space="preserve"> + y</t>
    </r>
    <r>
      <rPr>
        <vertAlign val="subscript"/>
        <sz val="10"/>
        <rFont val="Arial"/>
        <family val="2"/>
      </rPr>
      <t>s pg</t>
    </r>
  </si>
  <si>
    <t>total scour depth</t>
  </si>
  <si>
    <r>
      <t>y</t>
    </r>
    <r>
      <rPr>
        <vertAlign val="subscript"/>
        <sz val="10"/>
        <rFont val="Arial"/>
        <family val="2"/>
      </rPr>
      <t>s pier</t>
    </r>
  </si>
  <si>
    <t>scour component for the pier stem in the flow</t>
  </si>
  <si>
    <r>
      <t>y</t>
    </r>
    <r>
      <rPr>
        <vertAlign val="subscript"/>
        <sz val="10"/>
        <rFont val="Arial"/>
        <family val="2"/>
      </rPr>
      <t>s pc</t>
    </r>
  </si>
  <si>
    <t>scour component for the pier cap or footing in the flow</t>
  </si>
  <si>
    <r>
      <t>y</t>
    </r>
    <r>
      <rPr>
        <vertAlign val="subscript"/>
        <sz val="10"/>
        <rFont val="Arial"/>
        <family val="2"/>
      </rPr>
      <t>s pg</t>
    </r>
  </si>
  <si>
    <t>scour component for the piles exposed to the flow</t>
  </si>
  <si>
    <t>USGS_100yr (Maximum Depth &amp; Velocity)</t>
  </si>
  <si>
    <t>Proposed_Ped_Slope_Abut</t>
  </si>
  <si>
    <t>Pier Stem Scour Depth Component</t>
  </si>
  <si>
    <r>
      <t>y</t>
    </r>
    <r>
      <rPr>
        <vertAlign val="subscript"/>
        <sz val="10"/>
        <rFont val="Arial"/>
        <family val="2"/>
      </rPr>
      <t xml:space="preserve">s pier </t>
    </r>
    <r>
      <rPr>
        <sz val="10"/>
        <rFont val="Arial"/>
        <family val="2"/>
      </rPr>
      <t>/ y</t>
    </r>
    <r>
      <rPr>
        <vertAlign val="subscript"/>
        <sz val="10"/>
        <rFont val="Arial"/>
        <family val="2"/>
      </rPr>
      <t>1</t>
    </r>
    <r>
      <rPr>
        <sz val="10"/>
        <rFont val="Arial"/>
        <family val="2"/>
      </rPr>
      <t xml:space="preserve"> = K</t>
    </r>
    <r>
      <rPr>
        <vertAlign val="subscript"/>
        <sz val="10"/>
        <rFont val="Arial"/>
        <family val="2"/>
      </rPr>
      <t>hpier</t>
    </r>
    <r>
      <rPr>
        <sz val="10"/>
        <rFont val="Arial"/>
        <family val="2"/>
      </rPr>
      <t xml:space="preserve"> [2.0*K</t>
    </r>
    <r>
      <rPr>
        <vertAlign val="subscript"/>
        <sz val="10"/>
        <rFont val="Arial"/>
        <family val="2"/>
      </rPr>
      <t>1</t>
    </r>
    <r>
      <rPr>
        <sz val="10"/>
        <rFont val="Arial"/>
        <family val="2"/>
      </rPr>
      <t>K</t>
    </r>
    <r>
      <rPr>
        <vertAlign val="subscript"/>
        <sz val="10"/>
        <rFont val="Arial"/>
        <family val="2"/>
      </rPr>
      <t>2</t>
    </r>
    <r>
      <rPr>
        <sz val="10"/>
        <rFont val="Arial"/>
        <family val="2"/>
      </rPr>
      <t>K</t>
    </r>
    <r>
      <rPr>
        <vertAlign val="subscript"/>
        <sz val="10"/>
        <rFont val="Arial"/>
        <family val="2"/>
      </rPr>
      <t>3</t>
    </r>
    <r>
      <rPr>
        <sz val="10"/>
        <rFont val="Arial"/>
        <family val="2"/>
      </rPr>
      <t>(</t>
    </r>
    <r>
      <rPr>
        <sz val="10"/>
        <rFont val="Arial"/>
        <family val="2"/>
      </rPr>
      <t>a</t>
    </r>
    <r>
      <rPr>
        <vertAlign val="subscript"/>
        <sz val="10"/>
        <rFont val="Arial"/>
        <family val="2"/>
      </rPr>
      <t>pier</t>
    </r>
    <r>
      <rPr>
        <sz val="10"/>
        <rFont val="Arial"/>
        <family val="2"/>
      </rPr>
      <t>/y</t>
    </r>
    <r>
      <rPr>
        <vertAlign val="subscript"/>
        <sz val="10"/>
        <rFont val="Arial"/>
        <family val="2"/>
      </rPr>
      <t>1</t>
    </r>
    <r>
      <rPr>
        <sz val="10"/>
        <rFont val="Arial"/>
        <family val="2"/>
      </rPr>
      <t>)</t>
    </r>
    <r>
      <rPr>
        <vertAlign val="superscript"/>
        <sz val="10"/>
        <rFont val="Arial"/>
        <family val="2"/>
      </rPr>
      <t>0.65</t>
    </r>
    <r>
      <rPr>
        <sz val="10"/>
        <rFont val="Arial"/>
        <family val="2"/>
      </rPr>
      <t>Fr</t>
    </r>
    <r>
      <rPr>
        <vertAlign val="subscript"/>
        <sz val="10"/>
        <rFont val="Arial"/>
        <family val="2"/>
      </rPr>
      <t>1</t>
    </r>
    <r>
      <rPr>
        <vertAlign val="superscript"/>
        <sz val="10"/>
        <rFont val="Arial"/>
        <family val="2"/>
      </rPr>
      <t>0.43</t>
    </r>
    <r>
      <rPr>
        <sz val="10"/>
        <rFont val="Arial"/>
        <family val="2"/>
      </rPr>
      <t>]</t>
    </r>
  </si>
  <si>
    <t>depth of pier stem scour</t>
  </si>
  <si>
    <r>
      <t>K</t>
    </r>
    <r>
      <rPr>
        <vertAlign val="subscript"/>
        <sz val="10"/>
        <rFont val="Arial"/>
        <family val="2"/>
      </rPr>
      <t>hpier</t>
    </r>
  </si>
  <si>
    <t>coeff. to account for pier stem height above bed and pile cap shielding effect</t>
  </si>
  <si>
    <r>
      <t>a</t>
    </r>
    <r>
      <rPr>
        <vertAlign val="subscript"/>
        <sz val="10"/>
        <rFont val="Arial"/>
        <family val="2"/>
      </rPr>
      <t>pier</t>
    </r>
  </si>
  <si>
    <r>
      <t>K</t>
    </r>
    <r>
      <rPr>
        <vertAlign val="subscript"/>
        <sz val="10"/>
        <rFont val="Arial"/>
        <family val="2"/>
      </rPr>
      <t xml:space="preserve">hpier </t>
    </r>
    <r>
      <rPr>
        <sz val="10"/>
        <rFont val="Arial"/>
        <family val="2"/>
      </rPr>
      <t>is a function of f, a</t>
    </r>
    <r>
      <rPr>
        <vertAlign val="subscript"/>
        <sz val="10"/>
        <rFont val="Arial"/>
        <family val="2"/>
      </rPr>
      <t>pier</t>
    </r>
    <r>
      <rPr>
        <sz val="10"/>
        <rFont val="Arial"/>
        <family val="2"/>
      </rPr>
      <t>, and h</t>
    </r>
    <r>
      <rPr>
        <vertAlign val="subscript"/>
        <sz val="10"/>
        <rFont val="Arial"/>
        <family val="2"/>
      </rPr>
      <t>1</t>
    </r>
    <r>
      <rPr>
        <sz val="10"/>
        <rFont val="Arial"/>
        <family val="2"/>
      </rPr>
      <t xml:space="preserve"> (see HEC-18, Fifth Edition, Page 7.14)</t>
    </r>
  </si>
  <si>
    <t>Bed above pile cap at beginning of computation</t>
  </si>
  <si>
    <t>From Pier Drawing</t>
  </si>
  <si>
    <t>Based on Piers 1 &amp; 3</t>
  </si>
  <si>
    <t>(Check with Figure 7.6 is reasonable)</t>
  </si>
  <si>
    <r>
      <t>y</t>
    </r>
    <r>
      <rPr>
        <vertAlign val="subscript"/>
        <sz val="10"/>
        <rFont val="Arial"/>
        <family val="2"/>
      </rPr>
      <t>s pier</t>
    </r>
    <r>
      <rPr>
        <sz val="10"/>
        <rFont val="Arial"/>
        <family val="2"/>
      </rPr>
      <t xml:space="preserve"> / y</t>
    </r>
    <r>
      <rPr>
        <vertAlign val="subscript"/>
        <sz val="10"/>
        <rFont val="Arial"/>
        <family val="2"/>
      </rPr>
      <t>1</t>
    </r>
  </si>
  <si>
    <r>
      <t>y</t>
    </r>
    <r>
      <rPr>
        <b/>
        <vertAlign val="subscript"/>
        <sz val="10"/>
        <rFont val="Arial"/>
        <family val="2"/>
      </rPr>
      <t>s pier</t>
    </r>
    <r>
      <rPr>
        <sz val="10"/>
        <rFont val="Arial"/>
        <family val="2"/>
      </rPr>
      <t/>
    </r>
  </si>
  <si>
    <t>Pile Cap (Footing) Scour Depth Component - Case 1</t>
  </si>
  <si>
    <r>
      <t>y</t>
    </r>
    <r>
      <rPr>
        <vertAlign val="subscript"/>
        <sz val="10"/>
        <rFont val="Arial"/>
        <family val="2"/>
      </rPr>
      <t xml:space="preserve">s pc </t>
    </r>
    <r>
      <rPr>
        <sz val="10"/>
        <rFont val="Arial"/>
        <family val="2"/>
      </rPr>
      <t>/ y</t>
    </r>
    <r>
      <rPr>
        <vertAlign val="subscript"/>
        <sz val="10"/>
        <rFont val="Arial"/>
        <family val="2"/>
      </rPr>
      <t>2</t>
    </r>
    <r>
      <rPr>
        <sz val="10"/>
        <rFont val="Arial"/>
        <family val="2"/>
      </rPr>
      <t xml:space="preserve"> = 2.0*K</t>
    </r>
    <r>
      <rPr>
        <vertAlign val="subscript"/>
        <sz val="10"/>
        <rFont val="Arial"/>
        <family val="2"/>
      </rPr>
      <t>1</t>
    </r>
    <r>
      <rPr>
        <sz val="10"/>
        <rFont val="Arial"/>
        <family val="2"/>
      </rPr>
      <t>K</t>
    </r>
    <r>
      <rPr>
        <vertAlign val="subscript"/>
        <sz val="10"/>
        <rFont val="Arial"/>
        <family val="2"/>
      </rPr>
      <t>2</t>
    </r>
    <r>
      <rPr>
        <sz val="10"/>
        <rFont val="Arial"/>
        <family val="2"/>
      </rPr>
      <t>K</t>
    </r>
    <r>
      <rPr>
        <vertAlign val="subscript"/>
        <sz val="10"/>
        <rFont val="Arial"/>
        <family val="2"/>
      </rPr>
      <t>3</t>
    </r>
    <r>
      <rPr>
        <sz val="10"/>
        <rFont val="Arial"/>
        <family val="2"/>
      </rPr>
      <t>K</t>
    </r>
    <r>
      <rPr>
        <vertAlign val="subscript"/>
        <sz val="10"/>
        <rFont val="Arial"/>
        <family val="2"/>
      </rPr>
      <t>w</t>
    </r>
    <r>
      <rPr>
        <sz val="10"/>
        <rFont val="Arial"/>
        <family val="2"/>
      </rPr>
      <t>(</t>
    </r>
    <r>
      <rPr>
        <sz val="10"/>
        <rFont val="Arial"/>
        <family val="2"/>
      </rPr>
      <t>a*</t>
    </r>
    <r>
      <rPr>
        <vertAlign val="subscript"/>
        <sz val="10"/>
        <rFont val="Arial"/>
        <family val="2"/>
      </rPr>
      <t>pc</t>
    </r>
    <r>
      <rPr>
        <sz val="10"/>
        <rFont val="Arial"/>
        <family val="2"/>
      </rPr>
      <t>/y</t>
    </r>
    <r>
      <rPr>
        <vertAlign val="subscript"/>
        <sz val="10"/>
        <rFont val="Arial"/>
        <family val="2"/>
      </rPr>
      <t>2</t>
    </r>
    <r>
      <rPr>
        <sz val="10"/>
        <rFont val="Arial"/>
        <family val="2"/>
      </rPr>
      <t>)</t>
    </r>
    <r>
      <rPr>
        <vertAlign val="superscript"/>
        <sz val="10"/>
        <rFont val="Arial"/>
        <family val="2"/>
      </rPr>
      <t>0.65</t>
    </r>
    <r>
      <rPr>
        <sz val="10"/>
        <rFont val="Arial"/>
        <family val="2"/>
      </rPr>
      <t>Fr</t>
    </r>
    <r>
      <rPr>
        <vertAlign val="subscript"/>
        <sz val="10"/>
        <rFont val="Arial"/>
        <family val="2"/>
      </rPr>
      <t>2</t>
    </r>
    <r>
      <rPr>
        <vertAlign val="superscript"/>
        <sz val="10"/>
        <rFont val="Arial"/>
        <family val="2"/>
      </rPr>
      <t>0.43</t>
    </r>
    <r>
      <rPr>
        <sz val="10"/>
        <rFont val="Arial"/>
        <family val="2"/>
      </rPr>
      <t>]</t>
    </r>
  </si>
  <si>
    <r>
      <t>a*</t>
    </r>
    <r>
      <rPr>
        <vertAlign val="subscript"/>
        <sz val="10"/>
        <rFont val="Arial"/>
        <family val="2"/>
      </rPr>
      <t>pc</t>
    </r>
    <r>
      <rPr>
        <sz val="10"/>
        <rFont val="Arial"/>
        <family val="2"/>
      </rPr>
      <t>/a</t>
    </r>
    <r>
      <rPr>
        <vertAlign val="subscript"/>
        <sz val="10"/>
        <rFont val="Arial"/>
        <family val="2"/>
      </rPr>
      <t>pc</t>
    </r>
    <r>
      <rPr>
        <sz val="10"/>
        <rFont val="Arial"/>
        <family val="2"/>
      </rPr>
      <t xml:space="preserve"> = EXP { -2.705 + 0.51LN(T/y</t>
    </r>
    <r>
      <rPr>
        <vertAlign val="subscript"/>
        <sz val="10"/>
        <rFont val="Arial"/>
        <family val="2"/>
      </rPr>
      <t>2</t>
    </r>
    <r>
      <rPr>
        <sz val="10"/>
        <rFont val="Arial"/>
        <family val="2"/>
      </rPr>
      <t>) - 2.783(h</t>
    </r>
    <r>
      <rPr>
        <vertAlign val="subscript"/>
        <sz val="10"/>
        <rFont val="Arial"/>
        <family val="2"/>
      </rPr>
      <t>2</t>
    </r>
    <r>
      <rPr>
        <sz val="10"/>
        <rFont val="Arial"/>
        <family val="2"/>
      </rPr>
      <t>/y</t>
    </r>
    <r>
      <rPr>
        <vertAlign val="subscript"/>
        <sz val="10"/>
        <rFont val="Arial"/>
        <family val="2"/>
      </rPr>
      <t>2</t>
    </r>
    <r>
      <rPr>
        <sz val="10"/>
        <rFont val="Arial"/>
        <family val="2"/>
      </rPr>
      <t>)</t>
    </r>
    <r>
      <rPr>
        <vertAlign val="superscript"/>
        <sz val="10"/>
        <rFont val="Arial"/>
        <family val="2"/>
      </rPr>
      <t>3</t>
    </r>
    <r>
      <rPr>
        <sz val="10"/>
        <rFont val="Arial"/>
        <family val="2"/>
      </rPr>
      <t xml:space="preserve"> + 1.751/EXP(h</t>
    </r>
    <r>
      <rPr>
        <vertAlign val="subscript"/>
        <sz val="10"/>
        <rFont val="Arial"/>
        <family val="2"/>
      </rPr>
      <t>2</t>
    </r>
    <r>
      <rPr>
        <sz val="10"/>
        <rFont val="Arial"/>
        <family val="2"/>
      </rPr>
      <t>/y</t>
    </r>
    <r>
      <rPr>
        <vertAlign val="subscript"/>
        <sz val="10"/>
        <rFont val="Arial"/>
        <family val="2"/>
      </rPr>
      <t>2</t>
    </r>
    <r>
      <rPr>
        <sz val="10"/>
        <rFont val="Arial"/>
        <family val="2"/>
      </rPr>
      <t>)}</t>
    </r>
  </si>
  <si>
    <t>From above</t>
  </si>
  <si>
    <r>
      <t>Checked max y</t>
    </r>
    <r>
      <rPr>
        <vertAlign val="subscript"/>
        <sz val="10"/>
        <rFont val="Arial"/>
        <family val="2"/>
      </rPr>
      <t>2</t>
    </r>
    <r>
      <rPr>
        <sz val="10"/>
        <rFont val="Arial"/>
        <family val="2"/>
      </rPr>
      <t xml:space="preserve"> = 3.5a</t>
    </r>
    <r>
      <rPr>
        <vertAlign val="subscript"/>
        <sz val="10"/>
        <rFont val="Arial"/>
        <family val="2"/>
      </rPr>
      <t>pc</t>
    </r>
    <r>
      <rPr>
        <sz val="10"/>
        <rFont val="Arial"/>
        <family val="2"/>
      </rPr>
      <t xml:space="preserve"> (max does not control)</t>
    </r>
  </si>
  <si>
    <r>
      <t>a*</t>
    </r>
    <r>
      <rPr>
        <vertAlign val="subscript"/>
        <sz val="10"/>
        <rFont val="Arial"/>
        <family val="2"/>
      </rPr>
      <t>pc</t>
    </r>
    <r>
      <rPr>
        <sz val="10"/>
        <rFont val="Arial"/>
        <family val="2"/>
      </rPr>
      <t>/a</t>
    </r>
    <r>
      <rPr>
        <vertAlign val="subscript"/>
        <sz val="10"/>
        <rFont val="Arial"/>
        <family val="2"/>
      </rPr>
      <t>pc</t>
    </r>
    <r>
      <rPr>
        <sz val="10"/>
        <rFont val="Arial"/>
        <family val="2"/>
      </rPr>
      <t/>
    </r>
  </si>
  <si>
    <r>
      <t>a</t>
    </r>
    <r>
      <rPr>
        <vertAlign val="subscript"/>
        <sz val="10"/>
        <rFont val="Arial"/>
        <family val="2"/>
      </rPr>
      <t>pc</t>
    </r>
  </si>
  <si>
    <t>Width of original pile cap, est. from pier drawing</t>
  </si>
  <si>
    <r>
      <t>a*</t>
    </r>
    <r>
      <rPr>
        <vertAlign val="subscript"/>
        <sz val="10"/>
        <rFont val="Arial"/>
        <family val="2"/>
      </rPr>
      <t>pc</t>
    </r>
  </si>
  <si>
    <r>
      <t>K</t>
    </r>
    <r>
      <rPr>
        <vertAlign val="subscript"/>
        <sz val="10"/>
        <rFont val="Arial"/>
        <family val="2"/>
      </rPr>
      <t>w</t>
    </r>
  </si>
  <si>
    <t>No wide pier correction factor</t>
  </si>
  <si>
    <r>
      <t>Fr</t>
    </r>
    <r>
      <rPr>
        <vertAlign val="subscript"/>
        <sz val="10"/>
        <rFont val="Arial"/>
        <family val="2"/>
      </rPr>
      <t>2</t>
    </r>
  </si>
  <si>
    <r>
      <t>Fr</t>
    </r>
    <r>
      <rPr>
        <vertAlign val="subscript"/>
        <sz val="10"/>
        <rFont val="Arial"/>
        <family val="2"/>
      </rPr>
      <t>2</t>
    </r>
    <r>
      <rPr>
        <sz val="10"/>
        <rFont val="Arial"/>
        <family val="2"/>
      </rPr>
      <t xml:space="preserve"> = V</t>
    </r>
    <r>
      <rPr>
        <vertAlign val="subscript"/>
        <sz val="10"/>
        <rFont val="Arial"/>
        <family val="2"/>
      </rPr>
      <t>2</t>
    </r>
    <r>
      <rPr>
        <sz val="10"/>
        <rFont val="Arial"/>
        <family val="2"/>
      </rPr>
      <t xml:space="preserve"> / (gy</t>
    </r>
    <r>
      <rPr>
        <vertAlign val="subscript"/>
        <sz val="10"/>
        <rFont val="Arial"/>
        <family val="2"/>
      </rPr>
      <t>2</t>
    </r>
    <r>
      <rPr>
        <sz val="10"/>
        <rFont val="Arial"/>
        <family val="2"/>
      </rPr>
      <t>)</t>
    </r>
    <r>
      <rPr>
        <vertAlign val="superscript"/>
        <sz val="10"/>
        <rFont val="Arial"/>
        <family val="2"/>
      </rPr>
      <t>0.5</t>
    </r>
  </si>
  <si>
    <r>
      <t>y</t>
    </r>
    <r>
      <rPr>
        <vertAlign val="subscript"/>
        <sz val="10"/>
        <rFont val="Arial"/>
        <family val="2"/>
      </rPr>
      <t>s pc</t>
    </r>
    <r>
      <rPr>
        <sz val="10"/>
        <rFont val="Arial"/>
        <family val="2"/>
      </rPr>
      <t xml:space="preserve"> / y</t>
    </r>
    <r>
      <rPr>
        <vertAlign val="subscript"/>
        <sz val="10"/>
        <rFont val="Arial"/>
        <family val="2"/>
      </rPr>
      <t>2</t>
    </r>
  </si>
  <si>
    <r>
      <t>y</t>
    </r>
    <r>
      <rPr>
        <b/>
        <vertAlign val="subscript"/>
        <sz val="10"/>
        <rFont val="Arial"/>
        <family val="2"/>
      </rPr>
      <t>s pc</t>
    </r>
  </si>
  <si>
    <t>Pile Group Scour Depth Component</t>
  </si>
  <si>
    <r>
      <t>y</t>
    </r>
    <r>
      <rPr>
        <vertAlign val="subscript"/>
        <sz val="10"/>
        <rFont val="Arial"/>
        <family val="2"/>
      </rPr>
      <t xml:space="preserve">s pg </t>
    </r>
    <r>
      <rPr>
        <sz val="10"/>
        <rFont val="Arial"/>
        <family val="2"/>
      </rPr>
      <t>/ y</t>
    </r>
    <r>
      <rPr>
        <vertAlign val="subscript"/>
        <sz val="10"/>
        <rFont val="Arial"/>
        <family val="2"/>
      </rPr>
      <t>3</t>
    </r>
    <r>
      <rPr>
        <sz val="10"/>
        <rFont val="Arial"/>
        <family val="2"/>
      </rPr>
      <t xml:space="preserve"> = K</t>
    </r>
    <r>
      <rPr>
        <vertAlign val="subscript"/>
        <sz val="10"/>
        <rFont val="Arial"/>
        <family val="2"/>
      </rPr>
      <t>hpg</t>
    </r>
    <r>
      <rPr>
        <sz val="10"/>
        <rFont val="Arial"/>
        <family val="2"/>
      </rPr>
      <t xml:space="preserve"> [2.0*K</t>
    </r>
    <r>
      <rPr>
        <vertAlign val="subscript"/>
        <sz val="10"/>
        <rFont val="Arial"/>
        <family val="2"/>
      </rPr>
      <t>1</t>
    </r>
    <r>
      <rPr>
        <sz val="10"/>
        <rFont val="Arial"/>
        <family val="2"/>
      </rPr>
      <t>K</t>
    </r>
    <r>
      <rPr>
        <vertAlign val="subscript"/>
        <sz val="10"/>
        <rFont val="Arial"/>
        <family val="2"/>
      </rPr>
      <t>3</t>
    </r>
    <r>
      <rPr>
        <sz val="10"/>
        <rFont val="Arial"/>
        <family val="2"/>
      </rPr>
      <t>(</t>
    </r>
    <r>
      <rPr>
        <sz val="10"/>
        <rFont val="Arial"/>
        <family val="2"/>
      </rPr>
      <t>a*</t>
    </r>
    <r>
      <rPr>
        <vertAlign val="subscript"/>
        <sz val="10"/>
        <rFont val="Arial"/>
        <family val="2"/>
      </rPr>
      <t>pg</t>
    </r>
    <r>
      <rPr>
        <sz val="10"/>
        <rFont val="Arial"/>
        <family val="2"/>
      </rPr>
      <t>/y</t>
    </r>
    <r>
      <rPr>
        <vertAlign val="subscript"/>
        <sz val="10"/>
        <rFont val="Arial"/>
        <family val="2"/>
      </rPr>
      <t>3</t>
    </r>
    <r>
      <rPr>
        <sz val="10"/>
        <rFont val="Arial"/>
        <family val="2"/>
      </rPr>
      <t>)</t>
    </r>
    <r>
      <rPr>
        <vertAlign val="superscript"/>
        <sz val="10"/>
        <rFont val="Arial"/>
        <family val="2"/>
      </rPr>
      <t>0.65</t>
    </r>
    <r>
      <rPr>
        <sz val="10"/>
        <rFont val="Arial"/>
        <family val="2"/>
      </rPr>
      <t>Fr</t>
    </r>
    <r>
      <rPr>
        <vertAlign val="subscript"/>
        <sz val="10"/>
        <rFont val="Arial"/>
        <family val="2"/>
      </rPr>
      <t>3</t>
    </r>
    <r>
      <rPr>
        <vertAlign val="superscript"/>
        <sz val="10"/>
        <rFont val="Arial"/>
        <family val="2"/>
      </rPr>
      <t>0.43</t>
    </r>
    <r>
      <rPr>
        <sz val="10"/>
        <rFont val="Arial"/>
        <family val="2"/>
      </rPr>
      <t>]</t>
    </r>
  </si>
  <si>
    <r>
      <t>Checked max y</t>
    </r>
    <r>
      <rPr>
        <vertAlign val="subscript"/>
        <sz val="10"/>
        <rFont val="Arial"/>
        <family val="2"/>
      </rPr>
      <t>3</t>
    </r>
    <r>
      <rPr>
        <sz val="10"/>
        <rFont val="Arial"/>
        <family val="2"/>
      </rPr>
      <t xml:space="preserve"> = 3.5a*</t>
    </r>
    <r>
      <rPr>
        <vertAlign val="subscript"/>
        <sz val="10"/>
        <rFont val="Arial"/>
        <family val="2"/>
      </rPr>
      <t xml:space="preserve">pg </t>
    </r>
    <r>
      <rPr>
        <sz val="10"/>
        <rFont val="Arial"/>
        <family val="2"/>
      </rPr>
      <t>(max does not control)</t>
    </r>
  </si>
  <si>
    <r>
      <t>S</t>
    </r>
    <r>
      <rPr>
        <vertAlign val="subscript"/>
        <sz val="10"/>
        <rFont val="Arial"/>
        <family val="2"/>
      </rPr>
      <t>R</t>
    </r>
  </si>
  <si>
    <r>
      <t>a</t>
    </r>
    <r>
      <rPr>
        <vertAlign val="subscript"/>
        <sz val="10"/>
        <rFont val="Arial"/>
        <family val="2"/>
      </rPr>
      <t>proj</t>
    </r>
  </si>
  <si>
    <r>
      <t>K</t>
    </r>
    <r>
      <rPr>
        <vertAlign val="subscript"/>
        <sz val="10"/>
        <rFont val="Arial"/>
        <family val="2"/>
      </rPr>
      <t>sp</t>
    </r>
  </si>
  <si>
    <r>
      <t>K</t>
    </r>
    <r>
      <rPr>
        <vertAlign val="subscript"/>
        <sz val="10"/>
        <rFont val="Arial"/>
        <family val="2"/>
      </rPr>
      <t>m</t>
    </r>
  </si>
  <si>
    <t>skewed pile group</t>
  </si>
  <si>
    <r>
      <t>a*</t>
    </r>
    <r>
      <rPr>
        <vertAlign val="subscript"/>
        <sz val="10"/>
        <rFont val="Arial"/>
        <family val="2"/>
      </rPr>
      <t>pg</t>
    </r>
  </si>
  <si>
    <r>
      <t>K</t>
    </r>
    <r>
      <rPr>
        <vertAlign val="subscript"/>
        <sz val="10"/>
        <rFont val="Arial"/>
        <family val="2"/>
      </rPr>
      <t>hpg</t>
    </r>
  </si>
  <si>
    <r>
      <t>Fr</t>
    </r>
    <r>
      <rPr>
        <vertAlign val="subscript"/>
        <sz val="10"/>
        <rFont val="Arial"/>
        <family val="2"/>
      </rPr>
      <t>3</t>
    </r>
  </si>
  <si>
    <r>
      <t>Fr</t>
    </r>
    <r>
      <rPr>
        <vertAlign val="subscript"/>
        <sz val="10"/>
        <rFont val="Arial"/>
        <family val="2"/>
      </rPr>
      <t>3</t>
    </r>
    <r>
      <rPr>
        <sz val="10"/>
        <rFont val="Arial"/>
        <family val="2"/>
      </rPr>
      <t xml:space="preserve"> = V</t>
    </r>
    <r>
      <rPr>
        <vertAlign val="subscript"/>
        <sz val="10"/>
        <rFont val="Arial"/>
        <family val="2"/>
      </rPr>
      <t>3</t>
    </r>
    <r>
      <rPr>
        <sz val="10"/>
        <rFont val="Arial"/>
        <family val="2"/>
      </rPr>
      <t xml:space="preserve"> / (gy</t>
    </r>
    <r>
      <rPr>
        <vertAlign val="subscript"/>
        <sz val="10"/>
        <rFont val="Arial"/>
        <family val="2"/>
      </rPr>
      <t>3</t>
    </r>
    <r>
      <rPr>
        <sz val="10"/>
        <rFont val="Arial"/>
        <family val="2"/>
      </rPr>
      <t>)</t>
    </r>
    <r>
      <rPr>
        <vertAlign val="superscript"/>
        <sz val="10"/>
        <rFont val="Arial"/>
        <family val="2"/>
      </rPr>
      <t>0.5</t>
    </r>
  </si>
  <si>
    <r>
      <t>y</t>
    </r>
    <r>
      <rPr>
        <vertAlign val="subscript"/>
        <sz val="10"/>
        <rFont val="Arial"/>
        <family val="2"/>
      </rPr>
      <t>s pg</t>
    </r>
    <r>
      <rPr>
        <sz val="10"/>
        <rFont val="Arial"/>
        <family val="2"/>
      </rPr>
      <t xml:space="preserve"> / y</t>
    </r>
    <r>
      <rPr>
        <vertAlign val="subscript"/>
        <sz val="10"/>
        <rFont val="Arial"/>
        <family val="2"/>
      </rPr>
      <t>3</t>
    </r>
  </si>
  <si>
    <r>
      <t>y</t>
    </r>
    <r>
      <rPr>
        <b/>
        <vertAlign val="subscript"/>
        <sz val="10"/>
        <rFont val="Arial"/>
        <family val="2"/>
      </rPr>
      <t>s pg</t>
    </r>
  </si>
  <si>
    <t>Total Sour Depth for Complex Pier</t>
  </si>
  <si>
    <r>
      <t>y</t>
    </r>
    <r>
      <rPr>
        <b/>
        <vertAlign val="subscript"/>
        <sz val="10"/>
        <rFont val="Arial"/>
        <family val="2"/>
      </rPr>
      <t>s</t>
    </r>
  </si>
  <si>
    <t>Complex pier scour is 9.1 ft.</t>
  </si>
  <si>
    <t>Pier Scour - K2</t>
  </si>
  <si>
    <t>Add References</t>
  </si>
  <si>
    <r>
      <t>Correction Factor K</t>
    </r>
    <r>
      <rPr>
        <b/>
        <vertAlign val="subscript"/>
        <sz val="10"/>
        <rFont val="Arial"/>
        <family val="2"/>
      </rPr>
      <t>2</t>
    </r>
  </si>
  <si>
    <t>angle of attack of the flow</t>
  </si>
  <si>
    <t>radians</t>
  </si>
  <si>
    <t>length of pier</t>
  </si>
  <si>
    <r>
      <t>Correction Factor K</t>
    </r>
    <r>
      <rPr>
        <b/>
        <vertAlign val="subscript"/>
        <sz val="10"/>
        <rFont val="Arial"/>
        <family val="2"/>
      </rPr>
      <t>2</t>
    </r>
    <r>
      <rPr>
        <b/>
        <sz val="10"/>
        <rFont val="Arial"/>
        <family val="2"/>
      </rPr>
      <t xml:space="preserve"> for Pile Cap (Footing) Scour Depth Component</t>
    </r>
  </si>
  <si>
    <t>Wall Scour</t>
  </si>
  <si>
    <t>Scour with Flow Parallel to a Vertical Wall</t>
  </si>
  <si>
    <r>
      <t>Reference</t>
    </r>
    <r>
      <rPr>
        <b/>
        <sz val="10"/>
        <rFont val="Arial"/>
        <family val="2"/>
      </rPr>
      <t>:</t>
    </r>
  </si>
  <si>
    <t>FHWA Hydraulic Engineering Circular No. 23, Third Edition</t>
  </si>
  <si>
    <t>Bridge Scour and Stream Instability Countermeasures</t>
  </si>
  <si>
    <t>Equation 4.3</t>
  </si>
  <si>
    <r>
      <t>y</t>
    </r>
    <r>
      <rPr>
        <vertAlign val="subscript"/>
        <sz val="10"/>
        <rFont val="Arial"/>
        <family val="2"/>
      </rPr>
      <t>s</t>
    </r>
    <r>
      <rPr>
        <sz val="10"/>
        <rFont val="Arial"/>
        <family val="2"/>
      </rPr>
      <t>/y</t>
    </r>
    <r>
      <rPr>
        <vertAlign val="subscript"/>
        <sz val="10"/>
        <rFont val="Arial"/>
        <family val="2"/>
      </rPr>
      <t>1</t>
    </r>
    <r>
      <rPr>
        <sz val="10"/>
        <rFont val="Arial"/>
        <family val="2"/>
      </rPr>
      <t xml:space="preserve"> = 0.73 + 0.14</t>
    </r>
    <r>
      <rPr>
        <sz val="10"/>
        <rFont val="Symbol"/>
        <family val="1"/>
        <charset val="2"/>
      </rPr>
      <t>p</t>
    </r>
    <r>
      <rPr>
        <sz val="10"/>
        <rFont val="Arial"/>
        <family val="2"/>
      </rPr>
      <t>F</t>
    </r>
    <r>
      <rPr>
        <vertAlign val="subscript"/>
        <sz val="10"/>
        <rFont val="Arial"/>
        <family val="2"/>
      </rPr>
      <t>r</t>
    </r>
    <r>
      <rPr>
        <vertAlign val="superscript"/>
        <sz val="10"/>
        <rFont val="Arial"/>
        <family val="2"/>
      </rPr>
      <t>2</t>
    </r>
  </si>
  <si>
    <t>Applicability</t>
  </si>
  <si>
    <t>Applicable only where parallel flow can be assured.</t>
  </si>
  <si>
    <t>Variables</t>
  </si>
  <si>
    <r>
      <t>y</t>
    </r>
    <r>
      <rPr>
        <vertAlign val="subscript"/>
        <sz val="10"/>
        <color theme="1"/>
        <rFont val="Arial"/>
        <family val="2"/>
      </rPr>
      <t>s</t>
    </r>
  </si>
  <si>
    <t>equilibrium depth of scour</t>
  </si>
  <si>
    <t>(measured from the mean bed level to the bottom of the scour hole)</t>
  </si>
  <si>
    <r>
      <t>y</t>
    </r>
    <r>
      <rPr>
        <vertAlign val="subscript"/>
        <sz val="10"/>
        <color theme="1"/>
        <rFont val="Arial"/>
        <family val="2"/>
      </rPr>
      <t>1</t>
    </r>
  </si>
  <si>
    <t>average upstream flow depth in the main channel</t>
  </si>
  <si>
    <r>
      <t>F</t>
    </r>
    <r>
      <rPr>
        <vertAlign val="subscript"/>
        <sz val="10"/>
        <color theme="1"/>
        <rFont val="Arial"/>
        <family val="2"/>
      </rPr>
      <t>r</t>
    </r>
  </si>
  <si>
    <t>upstream Froude number</t>
  </si>
  <si>
    <t>Input and Calculations</t>
  </si>
  <si>
    <t>Input Values</t>
  </si>
  <si>
    <t>RS 1385</t>
  </si>
  <si>
    <t>RS 1335</t>
  </si>
  <si>
    <t>Sensitivity</t>
  </si>
  <si>
    <t>From RS 1385, 100-YR Event</t>
  </si>
  <si>
    <t>Hydraulic Depth from RS 1385, 100-YR Event</t>
  </si>
  <si>
    <r>
      <t>y</t>
    </r>
    <r>
      <rPr>
        <vertAlign val="subscript"/>
        <sz val="10"/>
        <color theme="1"/>
        <rFont val="Arial"/>
        <family val="2"/>
      </rPr>
      <t>s/</t>
    </r>
    <r>
      <rPr>
        <sz val="10"/>
        <color theme="1"/>
        <rFont val="Arial"/>
        <family val="2"/>
      </rPr>
      <t>y</t>
    </r>
    <r>
      <rPr>
        <vertAlign val="subscript"/>
        <sz val="10"/>
        <color theme="1"/>
        <rFont val="Arial"/>
        <family val="2"/>
      </rPr>
      <t>1</t>
    </r>
  </si>
  <si>
    <r>
      <t>Design y</t>
    </r>
    <r>
      <rPr>
        <b/>
        <vertAlign val="subscript"/>
        <sz val="10"/>
        <color theme="1"/>
        <rFont val="Arial"/>
        <family val="2"/>
      </rPr>
      <t>s</t>
    </r>
  </si>
  <si>
    <t>Scour with Flow Impinging at an Angle on a Vertical Wall</t>
  </si>
  <si>
    <t>Equation 4.4</t>
  </si>
  <si>
    <r>
      <t>y</t>
    </r>
    <r>
      <rPr>
        <vertAlign val="subscript"/>
        <sz val="10"/>
        <rFont val="Arial"/>
        <family val="2"/>
      </rPr>
      <t>s</t>
    </r>
    <r>
      <rPr>
        <sz val="10"/>
        <rFont val="Arial"/>
        <family val="2"/>
      </rPr>
      <t>/y</t>
    </r>
    <r>
      <rPr>
        <vertAlign val="subscript"/>
        <sz val="10"/>
        <rFont val="Arial"/>
        <family val="2"/>
      </rPr>
      <t>1</t>
    </r>
    <r>
      <rPr>
        <sz val="10"/>
        <rFont val="Arial"/>
        <family val="2"/>
      </rPr>
      <t xml:space="preserve"> = (0.73 + 0.14</t>
    </r>
    <r>
      <rPr>
        <sz val="10"/>
        <rFont val="Symbol"/>
        <family val="1"/>
        <charset val="2"/>
      </rPr>
      <t>p</t>
    </r>
    <r>
      <rPr>
        <sz val="10"/>
        <rFont val="Arial"/>
        <family val="2"/>
      </rPr>
      <t>F</t>
    </r>
    <r>
      <rPr>
        <vertAlign val="subscript"/>
        <sz val="10"/>
        <rFont val="Arial"/>
        <family val="2"/>
      </rPr>
      <t>r</t>
    </r>
    <r>
      <rPr>
        <vertAlign val="superscript"/>
        <sz val="10"/>
        <rFont val="Arial"/>
        <family val="2"/>
      </rPr>
      <t>2</t>
    </r>
    <r>
      <rPr>
        <sz val="10"/>
        <rFont val="Arial"/>
        <family val="2"/>
      </rPr>
      <t xml:space="preserve">) cos </t>
    </r>
    <r>
      <rPr>
        <sz val="10"/>
        <rFont val="Symbol"/>
        <family val="1"/>
        <charset val="2"/>
      </rPr>
      <t>q</t>
    </r>
    <r>
      <rPr>
        <sz val="10"/>
        <rFont val="Arial"/>
        <family val="2"/>
      </rPr>
      <t xml:space="preserve"> + 4Fr</t>
    </r>
    <r>
      <rPr>
        <vertAlign val="superscript"/>
        <sz val="10"/>
        <rFont val="Arial"/>
        <family val="2"/>
      </rPr>
      <t>0.33</t>
    </r>
    <r>
      <rPr>
        <sz val="10"/>
        <rFont val="Arial"/>
        <family val="2"/>
      </rPr>
      <t xml:space="preserve"> sin </t>
    </r>
    <r>
      <rPr>
        <sz val="10"/>
        <rFont val="Symbol"/>
        <family val="1"/>
        <charset val="2"/>
      </rPr>
      <t>q</t>
    </r>
  </si>
  <si>
    <t>Applicable for flows not parallel to a vertical wall.</t>
  </si>
  <si>
    <t>angle between the impinging flow direction and the vertical wall</t>
  </si>
  <si>
    <t>º</t>
  </si>
  <si>
    <t>Copy paste the text values from SMS Scour Coverage View Values window</t>
  </si>
  <si>
    <t>Screenshot</t>
  </si>
  <si>
    <t>APPROACH SECTION HYDRAULIC PARAMETERS:</t>
  </si>
  <si>
    <t>Entire approach cross section:</t>
  </si>
  <si>
    <t>Main channel (approach):</t>
  </si>
  <si>
    <t>(used for average depth upstream of contraction)</t>
  </si>
  <si>
    <t>Left overbank (approach; Used for overbank contraction scour calculations):</t>
  </si>
  <si>
    <t>Right overbank (approach; Used for overbank contraction scour calculations):</t>
  </si>
  <si>
    <t>CONTRACTED SECTION HYDRAULIC PARAMETERS:</t>
  </si>
  <si>
    <t>Entire cross section:</t>
  </si>
  <si>
    <t>Main channel:</t>
  </si>
  <si>
    <t>(adjusted for piers and skew)</t>
  </si>
  <si>
    <t>(used for the depth prior to scour in the contracted section)</t>
  </si>
  <si>
    <t>Left overbank (contracted; Used for overbank contraction scour calculations):</t>
  </si>
  <si>
    <t>Left overbank average velocity (ft/s): 0</t>
  </si>
  <si>
    <t>Left overbank flow (cfs): 0</t>
  </si>
  <si>
    <t>Right overbank (contracted; Used for overbank contraction scour calculations):</t>
  </si>
  <si>
    <t>ABUTMENT HYDRAULIC PARAMETERS:</t>
  </si>
  <si>
    <t>PIER HYDRAULIC PARAMETERS:</t>
  </si>
  <si>
    <t>Pier summary</t>
  </si>
  <si>
    <t>Highest unit discharge approaching piers (cfs/ft) 0</t>
  </si>
  <si>
    <t>(location based on longest pier length (offset from bridge centerline))</t>
  </si>
  <si>
    <t>Station of the highest unit discharge approaching piers (ft) 0</t>
  </si>
  <si>
    <t>Pier design velocity (ft/s) 0</t>
  </si>
  <si>
    <t>(Velocity magnitude at the highest unit discharge approaching piers)</t>
  </si>
  <si>
    <t>Depth at the highest unit discharge approaching piers (ft) 0</t>
  </si>
  <si>
    <t>The scour toolbox defaults to "Thalweg" option.</t>
  </si>
  <si>
    <t>If you wish to evaluate "Local" option, note</t>
  </si>
  <si>
    <t>pier local approach depth and velocity from above</t>
  </si>
  <si>
    <t>and enter into Hydraulic Toolbox.</t>
  </si>
  <si>
    <t>Left overbank unit discharge (cfs/ft): -0</t>
  </si>
  <si>
    <t>There was NO depth determined at the left abutment toe depth. No Abutment computations made. If this is unexpected, Check that the abutment toe arc intersects the contracted section arc and that the abutment toe arc is located within water depth</t>
  </si>
  <si>
    <t>There was NO depth determined at the right abutment toe depth. No Abutment computations made. If this is unexpected, Check that the abutment toe arc intersects the contracted section arc and that the abutment toe arc is located within water depth</t>
  </si>
  <si>
    <t>Approach section left bank station (ft) 23.9608</t>
  </si>
  <si>
    <t>Approach section right bank station (ft) 37.513</t>
  </si>
  <si>
    <t>Approach section main channel width (ft) 13.5522</t>
  </si>
  <si>
    <t>Left overbank flow width (ft): 0.00268022</t>
  </si>
  <si>
    <t>Right overbank flow width (ft): -0.0368495</t>
  </si>
  <si>
    <t>Contracted section left bank station (ft) 68.8256</t>
  </si>
  <si>
    <t>Contracted section right bank station (ft) 83.1947</t>
  </si>
  <si>
    <t>Contracted section main channel width (ft) 14.3691</t>
  </si>
  <si>
    <t>Left overbank flow width (ft): -0.0706483</t>
  </si>
  <si>
    <t>Right overbank flow width (ft): -0.0110708</t>
  </si>
  <si>
    <t>Right overbank average flow depth (ft): -0</t>
  </si>
  <si>
    <t>Right overbank average velocity (ft/s): -1.#IND</t>
  </si>
  <si>
    <t>Right overbank flow (cfs): 0</t>
  </si>
  <si>
    <t>Right overbank unit discharge (cfs/ft): -0</t>
  </si>
  <si>
    <t>500 yr</t>
  </si>
  <si>
    <t>100 yr</t>
  </si>
  <si>
    <t>Approach section left bank station (ft) 5.45772</t>
  </si>
  <si>
    <t>Approach section right bank station (ft) 20.8391</t>
  </si>
  <si>
    <t>Approach section main channel width (ft) 15.3813</t>
  </si>
  <si>
    <t>Left overbank flow width (ft): 2.32318</t>
  </si>
  <si>
    <t>Left overbank flow width (ft): 0.438077</t>
  </si>
  <si>
    <t>Right overbank flow width (ft): -2.1242</t>
  </si>
  <si>
    <t>For bend scour section</t>
  </si>
  <si>
    <t>Approach section main channel wetted perimeter (ft) 11.2234</t>
  </si>
  <si>
    <t>Contracted section main channel wetted perimeter (ft) 13.9641</t>
  </si>
  <si>
    <t>Approach section main channel wetted perimeter (ft) 14.972</t>
  </si>
  <si>
    <t>Right overbank flow width (ft): 0.922783</t>
  </si>
  <si>
    <t>Energy grade line slope at the approach section (ft/ft) 0.0443691</t>
  </si>
  <si>
    <t>Total flow in the approach section (cfs) 179.912</t>
  </si>
  <si>
    <t>Total flow area of the approach section (ft^2) 28.6189</t>
  </si>
  <si>
    <t>Total wetted perimeter of the approach section (ft) 20.7674</t>
  </si>
  <si>
    <t>Approach section main channel flow (cfs) 149.469</t>
  </si>
  <si>
    <t>Approach section main channel flow area (ft^2) 24.6949</t>
  </si>
  <si>
    <t>Approach section main channel hydraulic radius (ft) 2.2003</t>
  </si>
  <si>
    <t>Approach section main channel hydraulic depth (ft) 1.8222</t>
  </si>
  <si>
    <t>Approach section main channel maximum depth (ft) 1.96176</t>
  </si>
  <si>
    <t>Approach section main channel unit discharge (cfs/ft) 11.0291</t>
  </si>
  <si>
    <t>Approach section main channel average velocity (ft/s) 6.05264</t>
  </si>
  <si>
    <t>Approach section critical velocity (ft/s) 7.12546</t>
  </si>
  <si>
    <t>Left overbank average flow depth (ft): 618.438</t>
  </si>
  <si>
    <t>Left overbank average velocity (ft/s): 2.40244</t>
  </si>
  <si>
    <t>Left overbank flow (cfs): 3.98216</t>
  </si>
  <si>
    <t>Left overbank unit discharge (cfs/ft): 1485.76</t>
  </si>
  <si>
    <t>Right overbank average flow depth (ft): -63.1254</t>
  </si>
  <si>
    <t>Right overbank average velocity (ft/s): 1.83577e-011</t>
  </si>
  <si>
    <t>Right overbank flow (cfs): 4.27026e-011</t>
  </si>
  <si>
    <t>Right overbank unit discharge (cfs/ft): -1.15884e-009</t>
  </si>
  <si>
    <t>Energy grade line slope at the contracted section (ft/ft) 0.0443691</t>
  </si>
  <si>
    <t>Total flow in the contracted section (cfs) 150.529</t>
  </si>
  <si>
    <t>Contracted section total flow area (ft^2) 22.918</t>
  </si>
  <si>
    <t>Contracted section total wetted perimeter (ft) 18.0437</t>
  </si>
  <si>
    <t>Contracted section main channel adjusted width (ft) 14.1072</t>
  </si>
  <si>
    <t>Contracted section main channel flow (cfs) 145.566</t>
  </si>
  <si>
    <t>Contracted section main channel flow area (ft^2) 21.8425</t>
  </si>
  <si>
    <t>Contracted section main channel adjusted flow area (ft^2) 21.4443</t>
  </si>
  <si>
    <t>Contracted section main channel skew angle (degrees) 10.9562</t>
  </si>
  <si>
    <t>Contracted section main channel hydraulic radius (ft) 1.56418</t>
  </si>
  <si>
    <t>Contracted section main channel hydraulic depth (ft) 1.5201</t>
  </si>
  <si>
    <t>Contracted section main channel maximum depth (ft) 1.78334</t>
  </si>
  <si>
    <t>Contracted section main channel unit discharge (cfs/ft) 10.1305</t>
  </si>
  <si>
    <t>Contracted section main channel average velocity (ft/s) 6.66436</t>
  </si>
  <si>
    <t>Left overbank average flow depth (ft): -7.43507</t>
  </si>
  <si>
    <t>Right overbank average flow depth (ft): -50.446</t>
  </si>
  <si>
    <t>Right overbank average velocity (ft/s): 8.25029e-011</t>
  </si>
  <si>
    <t>Right overbank flow (cfs): 4.6076e-011</t>
  </si>
  <si>
    <t>Right overbank unit discharge (cfs/ft): -4.16194e-009</t>
  </si>
  <si>
    <t>Energy grade line slope at the approach section (ft/ft) 0.0442786</t>
  </si>
  <si>
    <t>Total flow in the approach section (cfs) 144.777</t>
  </si>
  <si>
    <t>Total flow area of the approach section (ft^2) 24.9841</t>
  </si>
  <si>
    <t>Total wetted perimeter of the approach section (ft) 20.4024</t>
  </si>
  <si>
    <t>Approach section main channel flow (cfs) 121.564</t>
  </si>
  <si>
    <t>Approach section main channel flow area (ft^2) 21.9243</t>
  </si>
  <si>
    <t>Approach section main channel hydraulic radius (ft) 1.95344</t>
  </si>
  <si>
    <t>Approach section main channel hydraulic depth (ft) 1.61777</t>
  </si>
  <si>
    <t>Approach section main channel maximum depth (ft) 1.7513</t>
  </si>
  <si>
    <t>Approach section main channel unit discharge (cfs/ft) 8.97005</t>
  </si>
  <si>
    <t>Approach section main channel average velocity (ft/s) 5.54471</t>
  </si>
  <si>
    <t>Approach section critical velocity (ft/s) 6.98553</t>
  </si>
  <si>
    <t>Left overbank average flow depth (ft): 484.12</t>
  </si>
  <si>
    <t>Left overbank average velocity (ft/s): 2.4207</t>
  </si>
  <si>
    <t>Left overbank flow (cfs): 3.14096</t>
  </si>
  <si>
    <t>Left overbank unit discharge (cfs/ft): 1171.91</t>
  </si>
  <si>
    <t>Right overbank average flow depth (ft): -49.2527</t>
  </si>
  <si>
    <t>Right overbank average velocity (ft/s): 1.56371e-011</t>
  </si>
  <si>
    <t>Right overbank flow (cfs): 2.83803e-011</t>
  </si>
  <si>
    <t>Right overbank unit discharge (cfs/ft): -7.70168e-010</t>
  </si>
  <si>
    <t>Energy grade line slope at the contracted section (ft/ft) 0.0442786</t>
  </si>
  <si>
    <t>Total flow in the contracted section (cfs) 119.308</t>
  </si>
  <si>
    <t>Contracted section total flow area (ft^2) 19.5836</t>
  </si>
  <si>
    <t>Contracted section total wetted perimeter (ft) 17.346</t>
  </si>
  <si>
    <t>Contracted section main channel adjusted width (ft) 14.1104</t>
  </si>
  <si>
    <t>Contracted section main channel flow (cfs) 116.372</t>
  </si>
  <si>
    <t>Contracted section main channel flow area (ft^2) 19.0124</t>
  </si>
  <si>
    <t>Contracted section main channel adjusted flow area (ft^2) 18.6701</t>
  </si>
  <si>
    <t>Contracted section main channel skew angle (degrees) 10.8884</t>
  </si>
  <si>
    <t>Contracted section main channel hydraulic radius (ft) 1.36152</t>
  </si>
  <si>
    <t>Contracted section main channel hydraulic depth (ft) 1.32315</t>
  </si>
  <si>
    <t>Contracted section main channel maximum depth (ft) 1.58609</t>
  </si>
  <si>
    <t>Contracted section main channel unit discharge (cfs/ft) 8.0988</t>
  </si>
  <si>
    <t>Contracted section main channel average velocity (ft/s) 6.12086</t>
  </si>
  <si>
    <t>Left overbank average flow depth (ft): -3.8976</t>
  </si>
  <si>
    <t>Right overbank average flow depth (ft): -27.2703</t>
  </si>
  <si>
    <t>Right overbank average velocity (ft/s): 6.63267e-011</t>
  </si>
  <si>
    <t>Right overbank flow (cfs): 2.00243e-011</t>
  </si>
  <si>
    <t>Right overbank unit discharge (cfs/ft): -1.80875e-009</t>
  </si>
  <si>
    <t>Energy grade line slope at the approach section (ft/ft) 0.0485739</t>
  </si>
  <si>
    <t>Total flow in the approach section (cfs) 147.565</t>
  </si>
  <si>
    <t>Total flow area of the approach section (ft^2) 26.8928</t>
  </si>
  <si>
    <t>Total wetted perimeter of the approach section (ft) 19.9939</t>
  </si>
  <si>
    <t>Approach section main channel flow (cfs) 141.931</t>
  </si>
  <si>
    <t>Approach section main channel flow area (ft^2) 25.2166</t>
  </si>
  <si>
    <t>Approach section main channel hydraulic radius (ft) 1.68426</t>
  </si>
  <si>
    <t>Approach section main channel hydraulic depth (ft) 1.63943</t>
  </si>
  <si>
    <t>Approach section main channel maximum depth (ft) 2.18422</t>
  </si>
  <si>
    <t>Approach section main channel unit discharge (cfs/ft) 9.22747</t>
  </si>
  <si>
    <t>Approach section main channel average velocity (ft/s) 5.62846</t>
  </si>
  <si>
    <t>Approach section critical velocity (ft/s) 6.81502</t>
  </si>
  <si>
    <t>Left overbank average flow depth (ft): 0.648159</t>
  </si>
  <si>
    <t>Left overbank average velocity (ft/s): 3.49179</t>
  </si>
  <si>
    <t>Left overbank flow (cfs): 5.25789</t>
  </si>
  <si>
    <t>Left overbank unit discharge (cfs/ft): 2.26323</t>
  </si>
  <si>
    <t>Right overbank average flow depth (ft): 0.211777</t>
  </si>
  <si>
    <t>Right overbank average velocity (ft/s): 1.03781</t>
  </si>
  <si>
    <t>Right overbank flow (cfs): 0.202813</t>
  </si>
  <si>
    <t>Right overbank unit discharge (cfs/ft): 0.219784</t>
  </si>
  <si>
    <t>Energy grade line slope at the contracted section (ft/ft) 0.0485739</t>
  </si>
  <si>
    <t>Energy grade line slope at the approach section (ft/ft) 0.048025</t>
  </si>
  <si>
    <t>Total flow in the approach section (cfs) 117.586</t>
  </si>
  <si>
    <t>Total flow area of the approach section (ft^2) 22.2576</t>
  </si>
  <si>
    <t>Total wetted perimeter of the approach section (ft) 17.455</t>
  </si>
  <si>
    <t>Approach section main channel flow (cfs) 114.333</t>
  </si>
  <si>
    <t>Approach section main channel flow area (ft^2) 21.4376</t>
  </si>
  <si>
    <t>Approach section main channel wetted perimeter (ft) 15.0721</t>
  </si>
  <si>
    <t>Approach section main channel hydraulic radius (ft) 1.42234</t>
  </si>
  <si>
    <t>Approach section main channel hydraulic depth (ft) 1.39374</t>
  </si>
  <si>
    <t>Approach section main channel maximum depth (ft) 1.89177</t>
  </si>
  <si>
    <t>Approach section main channel unit discharge (cfs/ft) 7.43326</t>
  </si>
  <si>
    <t>Approach section main channel average velocity (ft/s) 5.3333</t>
  </si>
  <si>
    <t>Approach section critical velocity (ft/s) 6.62572</t>
  </si>
  <si>
    <t>Left overbank average flow depth (ft): 1.87173</t>
  </si>
  <si>
    <t>Left overbank average velocity (ft/s): 2.90429</t>
  </si>
  <si>
    <t>Left overbank flow (cfs): 2.38141</t>
  </si>
  <si>
    <t>Left overbank unit discharge (cfs/ft): 5.43605</t>
  </si>
  <si>
    <t>Energy grade line slope at the contracted section (ft/ft) 0.048025</t>
  </si>
  <si>
    <t>Energy grade line slope at the approach section (ft/ft) 0.0468057</t>
  </si>
  <si>
    <t>Total flow in the approach section (cfs) 39.8284</t>
  </si>
  <si>
    <t>Total flow area of the approach section (ft^2) 9.99703</t>
  </si>
  <si>
    <t>Total wetted perimeter of the approach section (ft) 14.3598</t>
  </si>
  <si>
    <t>Approach section left bank station (ft) 0.951523</t>
  </si>
  <si>
    <t>Approach section right bank station (ft) 24.7253</t>
  </si>
  <si>
    <t>Approach section main channel width (ft) 23.7737</t>
  </si>
  <si>
    <t>Approach section main channel flow (cfs) 39.8284</t>
  </si>
  <si>
    <t>Approach section main channel flow area (ft^2) 9.99703</t>
  </si>
  <si>
    <t>Approach section main channel wetted perimeter (ft) 14.3598</t>
  </si>
  <si>
    <t>Approach section main channel hydraulic radius (ft) 0.696182</t>
  </si>
  <si>
    <t>Approach section main channel hydraulic depth (ft) 0.420508</t>
  </si>
  <si>
    <t>Approach section main channel maximum depth (ft) 0.983032</t>
  </si>
  <si>
    <t>Approach section main channel unit discharge (cfs/ft) 1.67531</t>
  </si>
  <si>
    <t>Approach section main channel average velocity (ft/s) 3.98403</t>
  </si>
  <si>
    <t>Approach section critical velocity (ft/s) 5.90058</t>
  </si>
  <si>
    <t>Left overbank average flow depth (ft): -0</t>
  </si>
  <si>
    <t>Left overbank average velocity (ft/s): -1.#IND</t>
  </si>
  <si>
    <t>Left overbank flow width (ft): -6.70699</t>
  </si>
  <si>
    <t>Right overbank flow width (ft): -6.00823</t>
  </si>
  <si>
    <t>Energy grade line slope at the contracted section (ft/ft) 0.0468057</t>
  </si>
  <si>
    <t>Total flow in the contracted section (cfs) 38.7767</t>
  </si>
  <si>
    <t>Contracted section total flow area (ft^2) 9.35074</t>
  </si>
  <si>
    <t>Contracted section total wetted perimeter (ft) 14.1755</t>
  </si>
  <si>
    <t>Contracted section left bank station (ft) 62.5367</t>
  </si>
  <si>
    <t>Contracted section right bank station (ft) 89.536</t>
  </si>
  <si>
    <t>Contracted section main channel width (ft) 13.7472</t>
  </si>
  <si>
    <t>Contracted section main channel adjusted width (ft) 13.5304</t>
  </si>
  <si>
    <t>Contracted section main channel flow (cfs) 38.7767</t>
  </si>
  <si>
    <t>Contracted section main channel flow area (ft^2) 9.35074</t>
  </si>
  <si>
    <t>Contracted section main channel adjusted flow area (ft^2) 9.20324</t>
  </si>
  <si>
    <t>Contracted section main channel skew angle (degrees) 10.1902</t>
  </si>
  <si>
    <t>Contracted section main channel wetted perimeter (ft) 14.1755</t>
  </si>
  <si>
    <t>Contracted section main channel hydraulic radius (ft) 0.659643</t>
  </si>
  <si>
    <t>Contracted section main channel hydraulic depth (ft) 0.680191</t>
  </si>
  <si>
    <t>Contracted section main channel maximum depth (ft) 0.910492</t>
  </si>
  <si>
    <t>Contracted section main channel unit discharge (cfs/ft) 2.82069</t>
  </si>
  <si>
    <t>Contracted section main channel average velocity (ft/s) 4.14691</t>
  </si>
  <si>
    <t>Left overbank flow width (ft): -7.5402</t>
  </si>
  <si>
    <t>Right overbank flow width (ft): -7.8831</t>
  </si>
  <si>
    <t>2 yr</t>
  </si>
  <si>
    <t>Notes (results pulled from main channel only)</t>
  </si>
  <si>
    <t>Limitations/Notes:</t>
  </si>
  <si>
    <t>●  For channels with Rc/W &lt; 1.5 or W/Dmnc &lt; 20, the scour depth calculations should use  Rc/W = 1.5 and W/Dmnc = 20, respectively.</t>
  </si>
  <si>
    <r>
      <t>y</t>
    </r>
    <r>
      <rPr>
        <vertAlign val="subscript"/>
        <sz val="10"/>
        <rFont val="Arial"/>
        <family val="2"/>
      </rPr>
      <t>bs</t>
    </r>
  </si>
  <si>
    <t>Ratio Used</t>
  </si>
  <si>
    <t>Calculated Ratios</t>
  </si>
  <si>
    <t>Blue cells are user inputs</t>
  </si>
  <si>
    <t>Limitations Check (True = within recommended limits)</t>
  </si>
  <si>
    <r>
      <t>y</t>
    </r>
    <r>
      <rPr>
        <b/>
        <vertAlign val="subscript"/>
        <sz val="10"/>
        <rFont val="Arial"/>
        <family val="2"/>
      </rPr>
      <t xml:space="preserve">bs </t>
    </r>
    <r>
      <rPr>
        <b/>
        <sz val="10"/>
        <rFont val="Arial"/>
        <family val="2"/>
      </rPr>
      <t>=</t>
    </r>
  </si>
  <si>
    <t>SR Route</t>
  </si>
  <si>
    <t>MP</t>
  </si>
  <si>
    <t>Stream Name</t>
  </si>
  <si>
    <t>Designer</t>
  </si>
  <si>
    <t>Checked by</t>
  </si>
  <si>
    <t>Water surface width (crossing section) at upstream end of bend (typically active channel)</t>
  </si>
  <si>
    <t>Maximum water depth in the bend (bend section)</t>
  </si>
  <si>
    <t>Average water depth in crossing section upstream of the bend</t>
  </si>
  <si>
    <t>Depth of bend scour (Dmxb - Dmnc)</t>
  </si>
  <si>
    <t>Inputs</t>
  </si>
  <si>
    <t>Maynord, S. 1996. Toe Scour Estimation on Stabilized Bendways. Journal of Hydraulic Engineering, American Society of Civil Engineers, Vol. 122, No.8.</t>
  </si>
  <si>
    <r>
      <t xml:space="preserve">STA </t>
    </r>
    <r>
      <rPr>
        <sz val="10"/>
        <color theme="5"/>
        <rFont val="Arial"/>
        <family val="2"/>
      </rPr>
      <t>X+XX</t>
    </r>
    <r>
      <rPr>
        <sz val="10"/>
        <rFont val="Arial"/>
        <family val="2"/>
      </rPr>
      <t xml:space="preserve"> used for data inputs</t>
    </r>
  </si>
  <si>
    <t>●  Equation originally developed for bank stabilization projects</t>
  </si>
  <si>
    <t>Calculated Paramaters</t>
  </si>
  <si>
    <r>
      <t>y</t>
    </r>
    <r>
      <rPr>
        <vertAlign val="subscript"/>
        <sz val="11"/>
        <color theme="1"/>
        <rFont val="Calibri"/>
        <family val="2"/>
        <scheme val="minor"/>
      </rPr>
      <t>bsf</t>
    </r>
  </si>
  <si>
    <r>
      <rPr>
        <b/>
        <sz val="10"/>
        <rFont val="Arial"/>
        <family val="2"/>
      </rPr>
      <t>y</t>
    </r>
    <r>
      <rPr>
        <b/>
        <vertAlign val="subscript"/>
        <sz val="10"/>
        <rFont val="Arial"/>
        <family val="2"/>
      </rPr>
      <t>bsf</t>
    </r>
    <r>
      <rPr>
        <b/>
        <sz val="10"/>
        <rFont val="Arial"/>
        <family val="2"/>
      </rPr>
      <t xml:space="preserve"> =</t>
    </r>
  </si>
  <si>
    <r>
      <t>W/D</t>
    </r>
    <r>
      <rPr>
        <vertAlign val="subscript"/>
        <sz val="10"/>
        <rFont val="Arial"/>
        <family val="2"/>
      </rPr>
      <t>mnc</t>
    </r>
    <r>
      <rPr>
        <sz val="10"/>
        <rFont val="Arial"/>
        <family val="2"/>
      </rPr>
      <t xml:space="preserve"> =</t>
    </r>
  </si>
  <si>
    <t xml:space="preserve">Figure based off of: Guo, Wen-Dar &amp; Hong, Jian-Hao &amp; Chen, Cheng-Hsin &amp; Su, Chih-Chiang &amp; Lai, Jihn-Sung. (2017). Simplified Simulation Method for Flood-Induced Bend Scour—A Case Study Near the Shuideliaw Embankment on the Cho-Shui River. 10.20944/preprints201703.0170.v1. </t>
  </si>
  <si>
    <t>FOS</t>
  </si>
  <si>
    <t>FOS =</t>
  </si>
  <si>
    <r>
      <t xml:space="preserve">Depth of bend scour (Dmxb - Dmnc) </t>
    </r>
    <r>
      <rPr>
        <b/>
        <sz val="10"/>
        <rFont val="Arial"/>
        <family val="2"/>
      </rPr>
      <t>including factor of safety</t>
    </r>
  </si>
  <si>
    <t>Default to 1.08;</t>
  </si>
  <si>
    <t>●  Factor of safety of 1.08 is applied in most situations (See Maynord table)</t>
  </si>
  <si>
    <t>●  Equation based on empirical relationships of meandering sand bed channels having naturally developed widths and depths.</t>
  </si>
  <si>
    <t>●  Equation developed for discharges that were within channel banks with mean return intervals (MRI) of 1 to 5 years.</t>
  </si>
  <si>
    <r>
      <rPr>
        <sz val="10"/>
        <color rgb="FFFF0000"/>
        <rFont val="Arial"/>
        <family val="2"/>
      </rPr>
      <t>X</t>
    </r>
    <r>
      <rPr>
        <sz val="10"/>
        <rFont val="Arial"/>
        <family val="2"/>
      </rPr>
      <t xml:space="preserve">-year </t>
    </r>
  </si>
  <si>
    <r>
      <rPr>
        <sz val="10"/>
        <color rgb="FFFF0000"/>
        <rFont val="Arial"/>
        <family val="2"/>
      </rPr>
      <t>X</t>
    </r>
    <r>
      <rPr>
        <sz val="10"/>
        <rFont val="Arial"/>
        <family val="2"/>
      </rPr>
      <t>-year</t>
    </r>
  </si>
  <si>
    <r>
      <rPr>
        <sz val="10"/>
        <color rgb="FFFF0000"/>
        <rFont val="Arial"/>
        <family val="2"/>
      </rPr>
      <t xml:space="preserve">X </t>
    </r>
    <r>
      <rPr>
        <sz val="10"/>
        <rFont val="Arial"/>
        <family val="2"/>
      </rPr>
      <t>cfs</t>
    </r>
  </si>
  <si>
    <t>●  Method is valid until there is signficant interaction between main channel flow and overbank flow. Should be limited to overbank depth less than 20% of main channel depth.</t>
  </si>
  <si>
    <t>**PLEASE READ**</t>
  </si>
  <si>
    <t xml:space="preserve">This spreadsheet is only meant to act as a tool for calculating bend scour using the Maynord's method. It is the individual's responsibility to determine the appropriate method, factor of safety needed, and to effectively determine that none of the limitations listed in this spreadsheet prevent this method from being applicable.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</si>
</sst>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0000"/>
    <numFmt numFmtId="167" formatCode="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u/>
      <sz val="10"/>
      <name val="Arial"/>
      <family val="2"/>
    </font>
    <font>
      <sz val="14"/>
      <name val="Arial"/>
      <family val="2"/>
    </font>
    <font>
      <b/>
      <i/>
      <sz val="10"/>
      <name val="Arial"/>
      <family val="2"/>
    </font>
    <font>
      <vertAlign val="subscript"/>
      <sz val="10"/>
      <name val="Arial"/>
      <family val="2"/>
    </font>
    <font>
      <sz val="10"/>
      <name val="Symbol"/>
      <family val="1"/>
      <charset val="2"/>
    </font>
    <font>
      <vertAlign val="superscript"/>
      <sz val="10"/>
      <name val="Arial"/>
      <family val="2"/>
    </font>
    <font>
      <sz val="10"/>
      <name val="Arial"/>
      <family val="2"/>
    </font>
    <font>
      <i/>
      <sz val="10"/>
      <name val="Arial"/>
      <family val="2"/>
    </font>
    <font>
      <sz val="10"/>
      <color indexed="23"/>
      <name val="Arial"/>
      <family val="2"/>
    </font>
    <font>
      <vertAlign val="subscript"/>
      <sz val="10"/>
      <color indexed="23"/>
      <name val="Arial"/>
      <family val="2"/>
    </font>
    <font>
      <b/>
      <vertAlign val="subscript"/>
      <sz val="10"/>
      <name val="Arial"/>
      <family val="2"/>
    </font>
    <font>
      <sz val="8"/>
      <name val="Arial"/>
      <family val="2"/>
    </font>
    <font>
      <u/>
      <sz val="10"/>
      <name val="Arial"/>
      <family val="2"/>
    </font>
    <font>
      <sz val="10"/>
      <color rgb="FF0070C0"/>
      <name val="Arial"/>
      <family val="2"/>
    </font>
    <font>
      <sz val="10"/>
      <color theme="1"/>
      <name val="Arial"/>
      <family val="2"/>
    </font>
    <font>
      <b/>
      <sz val="10"/>
      <color theme="1"/>
      <name val="Arial"/>
      <family val="2"/>
    </font>
    <font>
      <sz val="7"/>
      <name val="Arial"/>
      <family val="2"/>
    </font>
    <font>
      <b/>
      <sz val="9"/>
      <name val="Arial"/>
      <family val="2"/>
    </font>
    <font>
      <b/>
      <sz val="12"/>
      <name val="Arial"/>
      <family val="2"/>
    </font>
    <font>
      <vertAlign val="subscript"/>
      <sz val="10"/>
      <color theme="1"/>
      <name val="Arial"/>
      <family val="2"/>
    </font>
    <font>
      <b/>
      <vertAlign val="subscript"/>
      <sz val="10"/>
      <color theme="1"/>
      <name val="Arial"/>
      <family val="2"/>
    </font>
    <font>
      <sz val="10"/>
      <color theme="1"/>
      <name val="Symbol"/>
      <family val="1"/>
      <charset val="2"/>
    </font>
    <font>
      <b/>
      <sz val="10"/>
      <color rgb="FF00B050"/>
      <name val="Arial"/>
      <family val="2"/>
    </font>
    <font>
      <sz val="10"/>
      <color rgb="FF00B050"/>
      <name val="Arial"/>
      <family val="2"/>
    </font>
    <font>
      <vertAlign val="subscript"/>
      <sz val="10"/>
      <color rgb="FF00B050"/>
      <name val="Arial"/>
      <family val="2"/>
    </font>
    <font>
      <vertAlign val="superscript"/>
      <sz val="10"/>
      <color rgb="FF00B050"/>
      <name val="Arial"/>
      <family val="2"/>
    </font>
    <font>
      <b/>
      <sz val="9"/>
      <color rgb="FFFF0000"/>
      <name val="Arial"/>
      <family val="2"/>
    </font>
    <font>
      <sz val="10"/>
      <color rgb="FFFF0000"/>
      <name val="Arial"/>
      <family val="2"/>
    </font>
    <font>
      <u/>
      <sz val="10"/>
      <color theme="10"/>
      <name val="Arial"/>
      <family val="2"/>
    </font>
    <font>
      <sz val="10"/>
      <name val="Arial"/>
      <family val="2"/>
    </font>
    <font>
      <sz val="10"/>
      <color theme="5"/>
      <name val="Arial"/>
      <family val="2"/>
    </font>
    <font>
      <vertAlign val="subscript"/>
      <sz val="11"/>
      <color theme="1"/>
      <name val="Calibri"/>
      <family val="2"/>
      <scheme val="minor"/>
    </font>
    <font>
      <sz val="10"/>
      <name val="Arial"/>
    </font>
    <font>
      <sz val="6"/>
      <name val="Arial"/>
      <family val="2"/>
    </font>
    <font>
      <b/>
      <u/>
      <sz val="11"/>
      <color rgb="FFFF0000"/>
      <name val="Calibri"/>
      <family val="2"/>
    </font>
    <font>
      <sz val="11"/>
      <color rgb="FFFF0000"/>
      <name val="Calibri"/>
      <family val="2"/>
    </font>
  </fonts>
  <fills count="12">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rgb="FFCCFFFF"/>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79998168889431442"/>
        <bgColor indexed="64"/>
      </patternFill>
    </fill>
  </fills>
  <borders count="25">
    <border>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8">
    <xf numFmtId="0" fontId="0" fillId="0" borderId="0"/>
    <xf numFmtId="0" fontId="12" fillId="0" borderId="0"/>
    <xf numFmtId="0" fontId="34" fillId="0" borderId="0" applyNumberFormat="0" applyFill="0" applyBorder="0" applyAlignment="0" applyProtection="0"/>
    <xf numFmtId="0" fontId="35" fillId="0" borderId="0"/>
    <xf numFmtId="0" fontId="3" fillId="0" borderId="0"/>
    <xf numFmtId="0" fontId="4" fillId="0" borderId="0"/>
    <xf numFmtId="0" fontId="4" fillId="0" borderId="0"/>
    <xf numFmtId="9" fontId="38" fillId="0" borderId="0" applyFont="0" applyFill="0" applyBorder="0" applyAlignment="0" applyProtection="0"/>
  </cellStyleXfs>
  <cellXfs count="251">
    <xf numFmtId="0" fontId="0" fillId="0" borderId="0" xfId="0"/>
    <xf numFmtId="0" fontId="5" fillId="0" borderId="0" xfId="0" applyFont="1"/>
    <xf numFmtId="0" fontId="0" fillId="0" borderId="1" xfId="0" applyBorder="1" applyAlignment="1">
      <alignment horizontal="center"/>
    </xf>
    <xf numFmtId="0" fontId="0" fillId="0" borderId="1" xfId="0" applyBorder="1"/>
    <xf numFmtId="0" fontId="0" fillId="0" borderId="2" xfId="0" applyBorder="1" applyAlignment="1">
      <alignment horizontal="center"/>
    </xf>
    <xf numFmtId="0" fontId="0" fillId="0" borderId="2" xfId="0" applyBorder="1"/>
    <xf numFmtId="0" fontId="0" fillId="0" borderId="3" xfId="0" applyBorder="1"/>
    <xf numFmtId="0" fontId="0" fillId="0" borderId="0" xfId="0" applyAlignment="1">
      <alignment horizontal="center"/>
    </xf>
    <xf numFmtId="0" fontId="0" fillId="0" borderId="4" xfId="0" applyBorder="1"/>
    <xf numFmtId="0" fontId="6" fillId="0" borderId="0" xfId="0" applyFont="1"/>
    <xf numFmtId="0" fontId="7" fillId="0" borderId="0" xfId="0" applyFont="1"/>
    <xf numFmtId="0" fontId="8" fillId="0" borderId="0" xfId="0" applyFont="1"/>
    <xf numFmtId="0" fontId="10" fillId="0" borderId="0" xfId="0" applyFont="1"/>
    <xf numFmtId="0" fontId="0" fillId="0" borderId="4" xfId="0" applyBorder="1" applyAlignment="1">
      <alignment horizontal="center"/>
    </xf>
    <xf numFmtId="0" fontId="0" fillId="0" borderId="0" xfId="0" applyAlignment="1">
      <alignment horizontal="left"/>
    </xf>
    <xf numFmtId="0" fontId="12" fillId="0" borderId="0" xfId="0" applyFont="1"/>
    <xf numFmtId="0" fontId="0" fillId="0" borderId="5" xfId="0" applyBorder="1"/>
    <xf numFmtId="0" fontId="13" fillId="0" borderId="0" xfId="0" applyFont="1" applyAlignment="1">
      <alignment horizontal="left"/>
    </xf>
    <xf numFmtId="164" fontId="0" fillId="0" borderId="0" xfId="0" applyNumberFormat="1" applyAlignment="1">
      <alignment horizontal="center"/>
    </xf>
    <xf numFmtId="0" fontId="5" fillId="0" borderId="0" xfId="0" applyFont="1" applyAlignment="1">
      <alignment horizontal="center"/>
    </xf>
    <xf numFmtId="0" fontId="0" fillId="2" borderId="6" xfId="0" applyFill="1" applyBorder="1"/>
    <xf numFmtId="164" fontId="0" fillId="2" borderId="6" xfId="0" applyNumberFormat="1" applyFill="1" applyBorder="1" applyAlignment="1">
      <alignment horizontal="center"/>
    </xf>
    <xf numFmtId="2" fontId="0" fillId="3" borderId="6" xfId="0" applyNumberFormat="1" applyFill="1" applyBorder="1" applyAlignment="1">
      <alignment horizontal="center"/>
    </xf>
    <xf numFmtId="164" fontId="4" fillId="0" borderId="0" xfId="0" applyNumberFormat="1" applyFont="1" applyAlignment="1">
      <alignment horizontal="center"/>
    </xf>
    <xf numFmtId="164" fontId="0" fillId="0" borderId="0" xfId="0" applyNumberFormat="1" applyAlignment="1">
      <alignment horizontal="left"/>
    </xf>
    <xf numFmtId="164" fontId="5" fillId="0" borderId="4" xfId="0" applyNumberFormat="1" applyFont="1" applyBorder="1" applyAlignment="1">
      <alignment horizontal="center"/>
    </xf>
    <xf numFmtId="164" fontId="0" fillId="2" borderId="4" xfId="0" applyNumberFormat="1" applyFill="1" applyBorder="1" applyAlignment="1">
      <alignment horizontal="center"/>
    </xf>
    <xf numFmtId="0" fontId="0" fillId="2" borderId="6" xfId="0" applyFill="1" applyBorder="1" applyAlignment="1">
      <alignment horizontal="center"/>
    </xf>
    <xf numFmtId="0" fontId="4" fillId="0" borderId="0" xfId="0" applyFont="1" applyAlignment="1">
      <alignment horizontal="center"/>
    </xf>
    <xf numFmtId="2" fontId="0" fillId="0" borderId="0" xfId="0" applyNumberFormat="1"/>
    <xf numFmtId="0" fontId="0" fillId="0" borderId="7" xfId="0" applyBorder="1" applyAlignment="1">
      <alignment horizontal="center"/>
    </xf>
    <xf numFmtId="0" fontId="0" fillId="0" borderId="8" xfId="0" applyBorder="1"/>
    <xf numFmtId="0" fontId="0" fillId="0" borderId="9" xfId="0" applyBorder="1"/>
    <xf numFmtId="0" fontId="0" fillId="0" borderId="10" xfId="0" applyBorder="1"/>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14" fillId="0" borderId="0" xfId="0" applyFont="1"/>
    <xf numFmtId="0" fontId="14" fillId="0" borderId="0" xfId="0" applyFont="1" applyAlignment="1">
      <alignment horizontal="center"/>
    </xf>
    <xf numFmtId="0" fontId="4" fillId="0" borderId="0" xfId="0" applyFont="1"/>
    <xf numFmtId="2" fontId="14" fillId="0" borderId="0" xfId="0" applyNumberFormat="1" applyFont="1"/>
    <xf numFmtId="0" fontId="14" fillId="0" borderId="0" xfId="0" applyFont="1" applyAlignment="1">
      <alignment horizontal="left"/>
    </xf>
    <xf numFmtId="0" fontId="14" fillId="0" borderId="0" xfId="0" applyFont="1" applyAlignment="1">
      <alignment horizontal="right"/>
    </xf>
    <xf numFmtId="2" fontId="0" fillId="0" borderId="1" xfId="0" applyNumberFormat="1" applyBorder="1" applyAlignment="1">
      <alignment horizontal="center"/>
    </xf>
    <xf numFmtId="0" fontId="0" fillId="0" borderId="15" xfId="0" applyBorder="1"/>
    <xf numFmtId="0" fontId="0" fillId="3" borderId="6" xfId="0" applyFill="1" applyBorder="1" applyAlignment="1">
      <alignment horizontal="center"/>
    </xf>
    <xf numFmtId="2" fontId="0" fillId="0" borderId="9" xfId="0" applyNumberFormat="1" applyBorder="1" applyAlignment="1">
      <alignment horizontal="center"/>
    </xf>
    <xf numFmtId="0" fontId="5" fillId="0" borderId="12" xfId="0" applyFont="1" applyBorder="1" applyAlignment="1">
      <alignment horizontal="center"/>
    </xf>
    <xf numFmtId="2" fontId="5" fillId="0" borderId="4" xfId="0" applyNumberFormat="1" applyFont="1" applyBorder="1" applyAlignment="1">
      <alignment horizontal="center"/>
    </xf>
    <xf numFmtId="0" fontId="5" fillId="0" borderId="13" xfId="0" applyFont="1" applyBorder="1"/>
    <xf numFmtId="2" fontId="0" fillId="0" borderId="0" xfId="0" applyNumberFormat="1" applyAlignment="1">
      <alignment horizontal="center"/>
    </xf>
    <xf numFmtId="0" fontId="5" fillId="0" borderId="0" xfId="0" applyFont="1" applyAlignment="1">
      <alignment horizontal="left"/>
    </xf>
    <xf numFmtId="0" fontId="5" fillId="0" borderId="14" xfId="0" applyFont="1" applyBorder="1" applyAlignment="1">
      <alignment horizontal="center"/>
    </xf>
    <xf numFmtId="2" fontId="5" fillId="0" borderId="1" xfId="0" applyNumberFormat="1" applyFont="1" applyBorder="1" applyAlignment="1">
      <alignment horizontal="center"/>
    </xf>
    <xf numFmtId="0" fontId="5" fillId="0" borderId="15" xfId="0" applyFont="1" applyBorder="1"/>
    <xf numFmtId="0" fontId="0" fillId="0" borderId="14" xfId="0" applyBorder="1" applyAlignment="1">
      <alignment horizontal="center"/>
    </xf>
    <xf numFmtId="164" fontId="0" fillId="2" borderId="1" xfId="0" applyNumberFormat="1" applyFill="1" applyBorder="1" applyAlignment="1">
      <alignment horizontal="center"/>
    </xf>
    <xf numFmtId="0" fontId="0" fillId="3" borderId="6" xfId="0" applyFill="1" applyBorder="1"/>
    <xf numFmtId="0" fontId="0" fillId="0" borderId="6" xfId="0" applyBorder="1"/>
    <xf numFmtId="2" fontId="0" fillId="3" borderId="4" xfId="0" applyNumberFormat="1" applyFill="1" applyBorder="1"/>
    <xf numFmtId="0" fontId="18" fillId="0" borderId="0" xfId="0" applyFont="1"/>
    <xf numFmtId="2" fontId="0" fillId="0" borderId="16" xfId="0" applyNumberFormat="1" applyBorder="1"/>
    <xf numFmtId="0" fontId="13" fillId="0" borderId="0" xfId="0" applyFont="1"/>
    <xf numFmtId="2" fontId="0" fillId="0" borderId="6" xfId="0" applyNumberFormat="1" applyBorder="1"/>
    <xf numFmtId="165" fontId="0" fillId="0" borderId="6" xfId="0" applyNumberFormat="1" applyBorder="1"/>
    <xf numFmtId="0" fontId="5" fillId="0" borderId="19" xfId="0" applyFont="1"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xf>
    <xf numFmtId="0" fontId="5" fillId="2" borderId="6" xfId="0" applyFont="1" applyFill="1" applyBorder="1" applyAlignment="1">
      <alignment horizontal="center"/>
    </xf>
    <xf numFmtId="165" fontId="0" fillId="3" borderId="6" xfId="0" applyNumberFormat="1" applyFill="1" applyBorder="1" applyAlignment="1">
      <alignment horizontal="center"/>
    </xf>
    <xf numFmtId="0" fontId="5" fillId="0" borderId="2" xfId="0" applyFont="1" applyBorder="1"/>
    <xf numFmtId="0" fontId="0" fillId="4" borderId="0" xfId="0" applyFill="1"/>
    <xf numFmtId="0" fontId="19" fillId="0" borderId="0" xfId="0" applyFont="1"/>
    <xf numFmtId="0" fontId="0" fillId="5" borderId="6" xfId="0" applyFill="1" applyBorder="1"/>
    <xf numFmtId="0" fontId="0" fillId="6" borderId="6" xfId="0" applyFill="1" applyBorder="1"/>
    <xf numFmtId="0" fontId="22" fillId="0" borderId="2" xfId="0" applyFont="1" applyBorder="1"/>
    <xf numFmtId="0" fontId="23" fillId="0" borderId="2" xfId="0" applyFont="1" applyBorder="1" applyAlignment="1">
      <alignment horizontal="left"/>
    </xf>
    <xf numFmtId="0" fontId="22" fillId="0" borderId="5" xfId="0" applyFont="1" applyBorder="1"/>
    <xf numFmtId="0" fontId="23" fillId="0" borderId="5" xfId="0" applyFont="1" applyBorder="1" applyAlignment="1">
      <alignment horizontal="left"/>
    </xf>
    <xf numFmtId="0" fontId="17" fillId="0" borderId="5" xfId="0" applyFont="1" applyBorder="1"/>
    <xf numFmtId="0" fontId="0" fillId="6" borderId="3" xfId="0" applyFill="1" applyBorder="1" applyAlignment="1">
      <alignment horizontal="center"/>
    </xf>
    <xf numFmtId="0" fontId="0" fillId="6" borderId="3" xfId="0" applyFill="1" applyBorder="1"/>
    <xf numFmtId="0" fontId="0" fillId="6" borderId="0" xfId="0" applyFill="1" applyAlignment="1">
      <alignment horizontal="center"/>
    </xf>
    <xf numFmtId="0" fontId="0" fillId="6" borderId="0" xfId="0" applyFill="1"/>
    <xf numFmtId="16" fontId="0" fillId="6" borderId="4" xfId="0" quotePrefix="1" applyNumberFormat="1" applyFill="1" applyBorder="1" applyAlignment="1">
      <alignment horizontal="center"/>
    </xf>
    <xf numFmtId="0" fontId="0" fillId="6" borderId="4" xfId="0" applyFill="1" applyBorder="1"/>
    <xf numFmtId="0" fontId="0" fillId="6" borderId="2" xfId="0" applyFill="1" applyBorder="1"/>
    <xf numFmtId="0" fontId="0" fillId="6" borderId="5" xfId="0" applyFill="1" applyBorder="1" applyAlignment="1">
      <alignment horizontal="left"/>
    </xf>
    <xf numFmtId="0" fontId="0" fillId="6" borderId="5" xfId="0" applyFill="1" applyBorder="1"/>
    <xf numFmtId="0" fontId="7" fillId="6" borderId="0" xfId="0" applyFont="1" applyFill="1"/>
    <xf numFmtId="0" fontId="8" fillId="6" borderId="0" xfId="0" applyFont="1" applyFill="1"/>
    <xf numFmtId="0" fontId="5" fillId="6" borderId="2" xfId="0" applyFont="1" applyFill="1" applyBorder="1"/>
    <xf numFmtId="0" fontId="5" fillId="6" borderId="5" xfId="0" applyFont="1" applyFill="1" applyBorder="1"/>
    <xf numFmtId="0" fontId="0" fillId="7" borderId="17" xfId="0" applyFill="1" applyBorder="1" applyAlignment="1">
      <alignment horizontal="center"/>
    </xf>
    <xf numFmtId="0" fontId="0" fillId="7" borderId="18" xfId="0" applyFill="1" applyBorder="1" applyAlignment="1">
      <alignment horizontal="center"/>
    </xf>
    <xf numFmtId="0" fontId="10" fillId="7" borderId="18" xfId="0" applyFont="1" applyFill="1" applyBorder="1" applyAlignment="1">
      <alignment horizontal="center"/>
    </xf>
    <xf numFmtId="164" fontId="0" fillId="6" borderId="6" xfId="0" applyNumberFormat="1" applyFill="1" applyBorder="1" applyAlignment="1">
      <alignment horizontal="center"/>
    </xf>
    <xf numFmtId="0" fontId="0" fillId="6" borderId="6" xfId="0" applyFill="1" applyBorder="1" applyAlignment="1">
      <alignment horizontal="center"/>
    </xf>
    <xf numFmtId="0" fontId="0" fillId="6" borderId="6" xfId="0" quotePrefix="1" applyFill="1" applyBorder="1" applyAlignment="1">
      <alignment horizontal="center"/>
    </xf>
    <xf numFmtId="2" fontId="0" fillId="6" borderId="6" xfId="0" applyNumberFormat="1" applyFill="1" applyBorder="1" applyAlignment="1">
      <alignment horizontal="center"/>
    </xf>
    <xf numFmtId="0" fontId="0" fillId="7" borderId="6" xfId="0" applyFill="1" applyBorder="1" applyAlignment="1">
      <alignment horizontal="center"/>
    </xf>
    <xf numFmtId="0" fontId="0" fillId="7" borderId="0" xfId="0" applyFill="1" applyAlignment="1">
      <alignment horizontal="center"/>
    </xf>
    <xf numFmtId="0" fontId="0" fillId="7" borderId="5" xfId="0" applyFill="1" applyBorder="1" applyAlignment="1">
      <alignment horizontal="center"/>
    </xf>
    <xf numFmtId="0" fontId="0" fillId="7" borderId="0" xfId="0" applyFill="1" applyAlignment="1">
      <alignment horizontal="left"/>
    </xf>
    <xf numFmtId="0" fontId="4" fillId="6" borderId="0" xfId="0" applyFont="1" applyFill="1"/>
    <xf numFmtId="0" fontId="5" fillId="6" borderId="0" xfId="0" applyFont="1" applyFill="1"/>
    <xf numFmtId="0" fontId="0" fillId="6" borderId="0" xfId="0" applyFill="1" applyAlignment="1">
      <alignment horizontal="left"/>
    </xf>
    <xf numFmtId="0" fontId="10" fillId="7" borderId="0" xfId="0" applyFont="1" applyFill="1" applyAlignment="1">
      <alignment horizontal="center"/>
    </xf>
    <xf numFmtId="0" fontId="0" fillId="5" borderId="6" xfId="0" applyFill="1" applyBorder="1" applyAlignment="1">
      <alignment horizontal="center"/>
    </xf>
    <xf numFmtId="0" fontId="0" fillId="7" borderId="0" xfId="0" applyFill="1"/>
    <xf numFmtId="2" fontId="0" fillId="7" borderId="0" xfId="0" applyNumberFormat="1" applyFill="1"/>
    <xf numFmtId="0" fontId="24" fillId="0" borderId="0" xfId="0" applyFont="1"/>
    <xf numFmtId="0" fontId="20" fillId="0" borderId="0" xfId="0" applyFont="1"/>
    <xf numFmtId="0" fontId="21" fillId="0" borderId="0" xfId="0" applyFont="1"/>
    <xf numFmtId="0" fontId="20" fillId="0" borderId="0" xfId="0" applyFont="1" applyAlignment="1">
      <alignment horizontal="center"/>
    </xf>
    <xf numFmtId="0" fontId="20" fillId="0" borderId="0" xfId="0" applyFont="1" applyAlignment="1">
      <alignment horizontal="left" indent="1"/>
    </xf>
    <xf numFmtId="0" fontId="6" fillId="0" borderId="0" xfId="0" applyFont="1" applyAlignment="1">
      <alignment horizontal="left"/>
    </xf>
    <xf numFmtId="0" fontId="0" fillId="6" borderId="22" xfId="0" applyFill="1" applyBorder="1"/>
    <xf numFmtId="0" fontId="21" fillId="0" borderId="0" xfId="0" applyFont="1" applyAlignment="1">
      <alignment horizontal="center"/>
    </xf>
    <xf numFmtId="0" fontId="5" fillId="0" borderId="6" xfId="0" applyFont="1" applyBorder="1"/>
    <xf numFmtId="0" fontId="27" fillId="0" borderId="0" xfId="0" applyFont="1" applyAlignment="1">
      <alignment horizontal="center"/>
    </xf>
    <xf numFmtId="0" fontId="0" fillId="7" borderId="5" xfId="0" applyFill="1" applyBorder="1"/>
    <xf numFmtId="165" fontId="0" fillId="8" borderId="6" xfId="0" applyNumberFormat="1" applyFill="1" applyBorder="1" applyAlignment="1">
      <alignment horizontal="center"/>
    </xf>
    <xf numFmtId="164" fontId="0" fillId="0" borderId="1" xfId="0" applyNumberFormat="1" applyBorder="1" applyAlignment="1">
      <alignment horizontal="center"/>
    </xf>
    <xf numFmtId="1" fontId="0" fillId="0" borderId="1" xfId="0" applyNumberFormat="1" applyBorder="1" applyAlignment="1">
      <alignment horizontal="center"/>
    </xf>
    <xf numFmtId="164" fontId="0" fillId="4" borderId="6" xfId="0" applyNumberFormat="1" applyFill="1" applyBorder="1" applyAlignment="1">
      <alignment horizontal="center"/>
    </xf>
    <xf numFmtId="0" fontId="28" fillId="0" borderId="0" xfId="0" applyFont="1"/>
    <xf numFmtId="0" fontId="29" fillId="0" borderId="0" xfId="0" applyFont="1"/>
    <xf numFmtId="0" fontId="29" fillId="4" borderId="0" xfId="0" applyFont="1" applyFill="1"/>
    <xf numFmtId="0" fontId="29" fillId="0" borderId="0" xfId="0" quotePrefix="1" applyFont="1"/>
    <xf numFmtId="0" fontId="29" fillId="0" borderId="0" xfId="0" applyFont="1" applyAlignment="1">
      <alignment horizontal="left" indent="2"/>
    </xf>
    <xf numFmtId="0" fontId="23" fillId="0" borderId="2" xfId="0" applyFont="1" applyBorder="1" applyAlignment="1">
      <alignment horizontal="center"/>
    </xf>
    <xf numFmtId="0" fontId="23" fillId="0" borderId="5" xfId="0" applyFont="1" applyBorder="1" applyAlignment="1">
      <alignment horizontal="center"/>
    </xf>
    <xf numFmtId="14" fontId="23" fillId="0" borderId="2" xfId="0" applyNumberFormat="1" applyFont="1" applyBorder="1" applyAlignment="1">
      <alignment horizontal="center"/>
    </xf>
    <xf numFmtId="14" fontId="23" fillId="0" borderId="5" xfId="0" applyNumberFormat="1" applyFont="1" applyBorder="1" applyAlignment="1">
      <alignment horizontal="center"/>
    </xf>
    <xf numFmtId="166" fontId="23" fillId="0" borderId="5" xfId="0" applyNumberFormat="1" applyFont="1" applyBorder="1" applyAlignment="1">
      <alignment horizontal="left"/>
    </xf>
    <xf numFmtId="167" fontId="23" fillId="0" borderId="5" xfId="0" applyNumberFormat="1" applyFont="1" applyBorder="1" applyAlignment="1">
      <alignment horizontal="center"/>
    </xf>
    <xf numFmtId="0" fontId="32" fillId="0" borderId="0" xfId="0" applyFont="1" applyAlignment="1">
      <alignment horizontal="left"/>
    </xf>
    <xf numFmtId="0" fontId="33" fillId="0" borderId="0" xfId="0" applyFont="1"/>
    <xf numFmtId="0" fontId="0" fillId="0" borderId="6" xfId="0" applyBorder="1" applyAlignment="1">
      <alignment horizontal="center"/>
    </xf>
    <xf numFmtId="0" fontId="22" fillId="0" borderId="0" xfId="0" applyFont="1"/>
    <xf numFmtId="167" fontId="23" fillId="0" borderId="0" xfId="0" applyNumberFormat="1" applyFont="1" applyAlignment="1">
      <alignment horizontal="center"/>
    </xf>
    <xf numFmtId="0" fontId="17" fillId="0" borderId="0" xfId="0" applyFont="1"/>
    <xf numFmtId="0" fontId="23" fillId="0" borderId="0" xfId="0" applyFont="1" applyAlignment="1">
      <alignment horizontal="center"/>
    </xf>
    <xf numFmtId="0" fontId="22" fillId="0" borderId="3" xfId="0" applyFont="1" applyBorder="1"/>
    <xf numFmtId="166" fontId="23" fillId="0" borderId="3" xfId="0" applyNumberFormat="1" applyFont="1" applyBorder="1" applyAlignment="1">
      <alignment horizontal="left"/>
    </xf>
    <xf numFmtId="166" fontId="23" fillId="0" borderId="0" xfId="0" applyNumberFormat="1" applyFont="1" applyAlignment="1">
      <alignment horizontal="left"/>
    </xf>
    <xf numFmtId="0" fontId="0" fillId="6" borderId="23" xfId="0" applyFill="1" applyBorder="1" applyAlignment="1">
      <alignment horizontal="center"/>
    </xf>
    <xf numFmtId="0" fontId="34" fillId="0" borderId="0" xfId="2"/>
    <xf numFmtId="0" fontId="4" fillId="0" borderId="5" xfId="0" applyFont="1" applyBorder="1"/>
    <xf numFmtId="0" fontId="4" fillId="0" borderId="5" xfId="0" quotePrefix="1" applyFont="1" applyBorder="1"/>
    <xf numFmtId="0" fontId="4" fillId="0" borderId="5" xfId="0" quotePrefix="1" applyFont="1" applyBorder="1" applyAlignment="1">
      <alignment horizontal="center"/>
    </xf>
    <xf numFmtId="0" fontId="4" fillId="0" borderId="5" xfId="0" applyFont="1" applyBorder="1" applyAlignment="1">
      <alignment horizontal="center"/>
    </xf>
    <xf numFmtId="0" fontId="0" fillId="0" borderId="5" xfId="0" applyBorder="1" applyAlignment="1">
      <alignment horizontal="center"/>
    </xf>
    <xf numFmtId="2" fontId="0" fillId="0" borderId="5" xfId="0" applyNumberFormat="1" applyBorder="1"/>
    <xf numFmtId="0" fontId="4" fillId="0" borderId="3" xfId="0" applyFont="1" applyBorder="1"/>
    <xf numFmtId="0" fontId="4" fillId="0" borderId="3" xfId="0" applyFont="1" applyBorder="1" applyAlignment="1">
      <alignment horizontal="center"/>
    </xf>
    <xf numFmtId="2" fontId="0" fillId="0" borderId="3" xfId="0" applyNumberFormat="1" applyBorder="1"/>
    <xf numFmtId="0" fontId="4" fillId="0" borderId="2" xfId="0" applyFont="1" applyBorder="1"/>
    <xf numFmtId="0" fontId="4" fillId="0" borderId="2" xfId="0" applyFont="1" applyBorder="1" applyAlignment="1">
      <alignment horizontal="center"/>
    </xf>
    <xf numFmtId="2" fontId="0" fillId="0" borderId="2" xfId="0" applyNumberFormat="1" applyBorder="1"/>
    <xf numFmtId="0" fontId="4" fillId="0" borderId="2" xfId="0" quotePrefix="1" applyFont="1" applyBorder="1" applyAlignment="1">
      <alignment horizontal="center"/>
    </xf>
    <xf numFmtId="0" fontId="4" fillId="0" borderId="2" xfId="0" applyFont="1" applyBorder="1" applyAlignment="1">
      <alignment horizontal="left" indent="2"/>
    </xf>
    <xf numFmtId="0" fontId="4" fillId="0" borderId="0" xfId="0" applyFont="1" applyAlignment="1">
      <alignment horizontal="left" indent="2"/>
    </xf>
    <xf numFmtId="0" fontId="4" fillId="0" borderId="0" xfId="0" applyFont="1" applyAlignment="1">
      <alignment horizontal="left"/>
    </xf>
    <xf numFmtId="0" fontId="4" fillId="0" borderId="0" xfId="0" quotePrefix="1" applyFont="1" applyAlignment="1">
      <alignment horizontal="center"/>
    </xf>
    <xf numFmtId="164" fontId="0" fillId="0" borderId="2" xfId="0" applyNumberFormat="1" applyBorder="1"/>
    <xf numFmtId="0" fontId="4" fillId="0" borderId="3" xfId="0" applyFont="1" applyBorder="1" applyAlignment="1">
      <alignment horizontal="left"/>
    </xf>
    <xf numFmtId="0" fontId="0" fillId="0" borderId="3" xfId="0" applyBorder="1" applyAlignment="1">
      <alignment horizontal="center"/>
    </xf>
    <xf numFmtId="164" fontId="0" fillId="0" borderId="3" xfId="0" applyNumberFormat="1" applyBorder="1"/>
    <xf numFmtId="0" fontId="0" fillId="9" borderId="5" xfId="0" applyFill="1" applyBorder="1"/>
    <xf numFmtId="0" fontId="0" fillId="9" borderId="5" xfId="0" applyFill="1" applyBorder="1" applyAlignment="1">
      <alignment horizontal="center"/>
    </xf>
    <xf numFmtId="14" fontId="0" fillId="0" borderId="0" xfId="0" applyNumberFormat="1" applyAlignment="1">
      <alignment horizontal="center"/>
    </xf>
    <xf numFmtId="0" fontId="4" fillId="6" borderId="6" xfId="0" applyFont="1" applyFill="1" applyBorder="1" applyAlignment="1">
      <alignment horizontal="center"/>
    </xf>
    <xf numFmtId="0" fontId="4" fillId="2" borderId="6" xfId="0" applyFont="1" applyFill="1" applyBorder="1" applyAlignment="1">
      <alignment horizontal="center"/>
    </xf>
    <xf numFmtId="0" fontId="4" fillId="7" borderId="6" xfId="0" applyFont="1" applyFill="1" applyBorder="1" applyAlignment="1">
      <alignment horizontal="center"/>
    </xf>
    <xf numFmtId="0" fontId="4" fillId="8" borderId="6" xfId="0" applyFont="1" applyFill="1" applyBorder="1" applyAlignment="1">
      <alignment horizontal="center"/>
    </xf>
    <xf numFmtId="0" fontId="4" fillId="0" borderId="14" xfId="0" applyFont="1" applyBorder="1" applyAlignment="1">
      <alignment horizontal="center"/>
    </xf>
    <xf numFmtId="0" fontId="4" fillId="0" borderId="15" xfId="0" applyFont="1" applyBorder="1"/>
    <xf numFmtId="0" fontId="4" fillId="4" borderId="6" xfId="0" applyFont="1" applyFill="1" applyBorder="1" applyAlignment="1">
      <alignment horizontal="center"/>
    </xf>
    <xf numFmtId="0" fontId="4" fillId="7" borderId="0" xfId="0" applyFont="1" applyFill="1" applyAlignment="1">
      <alignment horizontal="left"/>
    </xf>
    <xf numFmtId="0" fontId="4" fillId="7" borderId="14" xfId="0" applyFont="1" applyFill="1" applyBorder="1" applyAlignment="1">
      <alignment horizontal="center"/>
    </xf>
    <xf numFmtId="0" fontId="4" fillId="7" borderId="0" xfId="0" applyFont="1" applyFill="1" applyAlignment="1">
      <alignment horizontal="center"/>
    </xf>
    <xf numFmtId="0" fontId="4" fillId="0" borderId="6" xfId="0" applyFont="1" applyBorder="1" applyAlignment="1">
      <alignment horizontal="center"/>
    </xf>
    <xf numFmtId="164" fontId="4" fillId="2" borderId="4" xfId="0" applyNumberFormat="1" applyFont="1" applyFill="1" applyBorder="1" applyAlignment="1">
      <alignment horizontal="center"/>
    </xf>
    <xf numFmtId="0" fontId="4" fillId="0" borderId="4" xfId="0" applyFont="1" applyBorder="1" applyAlignment="1">
      <alignment horizontal="center"/>
    </xf>
    <xf numFmtId="164" fontId="4" fillId="0" borderId="4" xfId="0" applyNumberFormat="1" applyFont="1" applyBorder="1" applyAlignment="1">
      <alignment horizontal="center"/>
    </xf>
    <xf numFmtId="0" fontId="4" fillId="0" borderId="17" xfId="0" applyFont="1" applyBorder="1" applyAlignment="1">
      <alignment horizontal="center"/>
    </xf>
    <xf numFmtId="0" fontId="4" fillId="7" borderId="17" xfId="0" applyFont="1" applyFill="1" applyBorder="1" applyAlignment="1">
      <alignment horizontal="center"/>
    </xf>
    <xf numFmtId="0" fontId="4" fillId="0" borderId="8" xfId="0" applyFont="1" applyBorder="1" applyAlignment="1">
      <alignment horizontal="center"/>
    </xf>
    <xf numFmtId="0" fontId="35" fillId="0" borderId="0" xfId="3"/>
    <xf numFmtId="0" fontId="7" fillId="0" borderId="0" xfId="3" applyFont="1"/>
    <xf numFmtId="0" fontId="6" fillId="0" borderId="0" xfId="3" applyFont="1"/>
    <xf numFmtId="0" fontId="18" fillId="0" borderId="0" xfId="3" applyFont="1"/>
    <xf numFmtId="0" fontId="4" fillId="0" borderId="0" xfId="3" applyFont="1"/>
    <xf numFmtId="0" fontId="4" fillId="0" borderId="0" xfId="3" applyFont="1" applyAlignment="1">
      <alignment horizontal="right"/>
    </xf>
    <xf numFmtId="0" fontId="5" fillId="0" borderId="0" xfId="3" applyFont="1" applyAlignment="1">
      <alignment horizontal="center"/>
    </xf>
    <xf numFmtId="0" fontId="5" fillId="0" borderId="0" xfId="3" applyFont="1"/>
    <xf numFmtId="0" fontId="5" fillId="0" borderId="14" xfId="3" applyFont="1" applyBorder="1" applyAlignment="1">
      <alignment horizontal="right"/>
    </xf>
    <xf numFmtId="0" fontId="5" fillId="0" borderId="15" xfId="3" applyFont="1" applyBorder="1"/>
    <xf numFmtId="0" fontId="0" fillId="0" borderId="0" xfId="3" applyFont="1"/>
    <xf numFmtId="0" fontId="4" fillId="0" borderId="0" xfId="6"/>
    <xf numFmtId="164" fontId="0" fillId="0" borderId="0" xfId="0" applyNumberFormat="1"/>
    <xf numFmtId="0" fontId="35" fillId="0" borderId="0" xfId="3" applyAlignment="1">
      <alignment horizontal="right"/>
    </xf>
    <xf numFmtId="0" fontId="4" fillId="0" borderId="24" xfId="3" applyFont="1" applyBorder="1"/>
    <xf numFmtId="164" fontId="4" fillId="0" borderId="6" xfId="3" applyNumberFormat="1" applyFont="1" applyBorder="1" applyAlignment="1">
      <alignment horizontal="center"/>
    </xf>
    <xf numFmtId="0" fontId="7" fillId="10" borderId="0" xfId="3" applyFont="1" applyFill="1"/>
    <xf numFmtId="0" fontId="35" fillId="10" borderId="0" xfId="3" applyFill="1"/>
    <xf numFmtId="0" fontId="4" fillId="0" borderId="0" xfId="3" applyFont="1" applyAlignment="1">
      <alignment horizontal="left" indent="1"/>
    </xf>
    <xf numFmtId="0" fontId="4" fillId="0" borderId="0" xfId="3" applyFont="1" applyAlignment="1">
      <alignment horizontal="left" vertical="top" wrapText="1" indent="1"/>
    </xf>
    <xf numFmtId="164" fontId="4" fillId="0" borderId="5" xfId="3" applyNumberFormat="1" applyFont="1" applyBorder="1" applyAlignment="1">
      <alignment horizontal="center"/>
    </xf>
    <xf numFmtId="164" fontId="4" fillId="0" borderId="0" xfId="0" applyNumberFormat="1" applyFont="1" applyAlignment="1">
      <alignment wrapText="1"/>
    </xf>
    <xf numFmtId="164" fontId="4" fillId="0" borderId="0" xfId="6" applyNumberFormat="1" applyAlignment="1">
      <alignment horizontal="center"/>
    </xf>
    <xf numFmtId="164" fontId="4" fillId="0" borderId="0" xfId="6" applyNumberFormat="1" applyAlignment="1">
      <alignment horizontal="left" vertical="top"/>
    </xf>
    <xf numFmtId="0" fontId="18" fillId="0" borderId="0" xfId="3" applyFont="1" applyAlignment="1">
      <alignment horizontal="left" indent="1"/>
    </xf>
    <xf numFmtId="164" fontId="18" fillId="0" borderId="0" xfId="0" applyNumberFormat="1" applyFont="1" applyAlignment="1">
      <alignment wrapText="1"/>
    </xf>
    <xf numFmtId="0" fontId="17" fillId="0" borderId="0" xfId="3" applyFont="1" applyAlignment="1">
      <alignment horizontal="left"/>
    </xf>
    <xf numFmtId="0" fontId="5" fillId="0" borderId="0" xfId="3" applyFont="1" applyAlignment="1">
      <alignment horizontal="left"/>
    </xf>
    <xf numFmtId="0" fontId="4" fillId="5" borderId="6" xfId="3" applyFont="1" applyFill="1" applyBorder="1" applyAlignment="1">
      <alignment horizontal="center"/>
    </xf>
    <xf numFmtId="164" fontId="35" fillId="11" borderId="6" xfId="3" applyNumberFormat="1" applyFill="1" applyBorder="1" applyAlignment="1">
      <alignment horizontal="center"/>
    </xf>
    <xf numFmtId="164" fontId="4" fillId="11" borderId="6" xfId="6" applyNumberFormat="1" applyFill="1" applyBorder="1" applyAlignment="1">
      <alignment horizontal="center"/>
    </xf>
    <xf numFmtId="164" fontId="4" fillId="5" borderId="6" xfId="3" applyNumberFormat="1" applyFont="1" applyFill="1" applyBorder="1" applyAlignment="1">
      <alignment horizontal="center"/>
    </xf>
    <xf numFmtId="164" fontId="5" fillId="5" borderId="1" xfId="3" applyNumberFormat="1" applyFont="1" applyFill="1" applyBorder="1" applyAlignment="1">
      <alignment horizontal="center"/>
    </xf>
    <xf numFmtId="0" fontId="4" fillId="11" borderId="6" xfId="3" applyFont="1" applyFill="1" applyBorder="1" applyAlignment="1">
      <alignment horizontal="center"/>
    </xf>
    <xf numFmtId="0" fontId="8" fillId="0" borderId="0" xfId="3" applyFont="1" applyAlignment="1">
      <alignment horizontal="left" wrapText="1"/>
    </xf>
    <xf numFmtId="0" fontId="5" fillId="0" borderId="0" xfId="3" applyFont="1" applyAlignment="1">
      <alignment horizontal="right"/>
    </xf>
    <xf numFmtId="0" fontId="2" fillId="5" borderId="6" xfId="4" applyFont="1" applyFill="1" applyBorder="1" applyAlignment="1">
      <alignment horizontal="center" vertical="center"/>
    </xf>
    <xf numFmtId="0" fontId="16" fillId="0" borderId="14" xfId="3" applyFont="1" applyBorder="1" applyAlignment="1">
      <alignment horizontal="right"/>
    </xf>
    <xf numFmtId="164" fontId="5" fillId="5" borderId="20" xfId="3" applyNumberFormat="1" applyFont="1" applyFill="1" applyBorder="1" applyAlignment="1">
      <alignment horizontal="center"/>
    </xf>
    <xf numFmtId="2" fontId="4" fillId="0" borderId="0" xfId="3" applyNumberFormat="1" applyFont="1" applyAlignment="1">
      <alignment horizontal="left" vertical="top" wrapText="1" indent="1"/>
    </xf>
    <xf numFmtId="0" fontId="13" fillId="0" borderId="0" xfId="4" applyFont="1"/>
    <xf numFmtId="0" fontId="6" fillId="0" borderId="0" xfId="3" applyFont="1" applyAlignment="1">
      <alignment horizontal="left" vertical="top"/>
    </xf>
    <xf numFmtId="0" fontId="6" fillId="0" borderId="0" xfId="3" applyFont="1" applyAlignment="1">
      <alignment horizontal="left" vertical="center"/>
    </xf>
    <xf numFmtId="12" fontId="4" fillId="0" borderId="0" xfId="0" applyNumberFormat="1" applyFont="1" applyAlignment="1">
      <alignment wrapText="1"/>
    </xf>
    <xf numFmtId="9" fontId="4" fillId="0" borderId="0" xfId="7" applyFont="1"/>
    <xf numFmtId="0" fontId="35" fillId="5" borderId="15" xfId="3" applyFill="1" applyBorder="1"/>
    <xf numFmtId="0" fontId="1" fillId="5" borderId="6" xfId="4" applyFont="1" applyFill="1" applyBorder="1" applyAlignment="1">
      <alignment horizontal="center"/>
    </xf>
    <xf numFmtId="0" fontId="4" fillId="0" borderId="0" xfId="3" applyFont="1" applyAlignment="1">
      <alignment horizontal="center" vertical="center"/>
    </xf>
    <xf numFmtId="0" fontId="4" fillId="0" borderId="2" xfId="3" applyFont="1" applyBorder="1" applyAlignment="1">
      <alignment horizontal="center" vertical="center"/>
    </xf>
    <xf numFmtId="0" fontId="40" fillId="0" borderId="0" xfId="0" applyFont="1"/>
    <xf numFmtId="164" fontId="6" fillId="0" borderId="0" xfId="0" applyNumberFormat="1" applyFont="1" applyAlignment="1">
      <alignment horizontal="center"/>
    </xf>
    <xf numFmtId="0" fontId="5" fillId="0" borderId="9" xfId="3" applyFont="1" applyBorder="1" applyAlignment="1">
      <alignment horizontal="center"/>
    </xf>
    <xf numFmtId="0" fontId="5" fillId="0" borderId="4" xfId="3" applyFont="1" applyBorder="1" applyAlignment="1">
      <alignment horizontal="center"/>
    </xf>
    <xf numFmtId="0" fontId="35" fillId="0" borderId="0" xfId="3" applyAlignment="1">
      <alignment horizontal="center"/>
    </xf>
    <xf numFmtId="0" fontId="5" fillId="0" borderId="0" xfId="3" applyFont="1" applyAlignment="1">
      <alignment horizontal="left"/>
    </xf>
    <xf numFmtId="0" fontId="4" fillId="0" borderId="0" xfId="3" applyFont="1" applyAlignment="1">
      <alignment horizontal="left" vertical="top" wrapText="1" indent="1"/>
    </xf>
    <xf numFmtId="0" fontId="4" fillId="0" borderId="0" xfId="3" applyFont="1" applyAlignment="1">
      <alignment horizontal="center"/>
    </xf>
    <xf numFmtId="0" fontId="13" fillId="0" borderId="0" xfId="3" applyFont="1" applyAlignment="1">
      <alignment horizontal="left" wrapText="1"/>
    </xf>
    <xf numFmtId="0" fontId="41" fillId="0" borderId="0" xfId="0" applyFont="1" applyAlignment="1">
      <alignment horizontal="left" vertical="top" wrapText="1"/>
    </xf>
    <xf numFmtId="0" fontId="39" fillId="0" borderId="0" xfId="3" applyFont="1" applyAlignment="1">
      <alignment horizontal="left" vertical="top" wrapText="1"/>
    </xf>
    <xf numFmtId="164" fontId="18" fillId="0" borderId="0" xfId="0" applyNumberFormat="1" applyFont="1" applyAlignment="1">
      <alignment horizontal="left" wrapText="1" indent="1"/>
    </xf>
  </cellXfs>
  <cellStyles count="8">
    <cellStyle name="Hyperlink" xfId="2" builtinId="8"/>
    <cellStyle name="Normal" xfId="0" builtinId="0"/>
    <cellStyle name="Normal 2" xfId="1" xr:uid="{00000000-0005-0000-0000-000002000000}"/>
    <cellStyle name="Normal 2 2" xfId="3" xr:uid="{00000000-0005-0000-0000-000003000000}"/>
    <cellStyle name="Normal 2 2 2" xfId="6" xr:uid="{66112564-62B3-4F45-8B9A-DA4B51EFD667}"/>
    <cellStyle name="Normal 3" xfId="4" xr:uid="{00000000-0005-0000-0000-000004000000}"/>
    <cellStyle name="Normal 4" xfId="5" xr:uid="{70D6163B-59D4-41B9-AFA3-0A4843D2D9BE}"/>
    <cellStyle name="Percent" xfId="7" builtinId="5"/>
  </cellStyles>
  <dxfs count="4">
    <dxf>
      <font>
        <color auto="1"/>
      </font>
      <fill>
        <patternFill>
          <bgColor theme="6" tint="0.59996337778862885"/>
        </patternFill>
      </fill>
    </dxf>
    <dxf>
      <font>
        <color auto="1"/>
      </font>
      <fill>
        <patternFill>
          <bgColor theme="5" tint="0.59996337778862885"/>
        </patternFill>
      </fill>
    </dxf>
    <dxf>
      <font>
        <color auto="1"/>
      </font>
      <fill>
        <patternFill>
          <bgColor theme="6" tint="0.59996337778862885"/>
        </patternFill>
      </fill>
    </dxf>
    <dxf>
      <font>
        <color auto="1"/>
      </font>
      <fill>
        <patternFill>
          <bgColor theme="5" tint="0.59996337778862885"/>
        </patternFill>
      </fill>
    </dxf>
  </dxfs>
  <tableStyles count="0" defaultTableStyle="TableStyleMedium9" defaultPivotStyle="PivotStyleLight16"/>
  <colors>
    <mruColors>
      <color rgb="FF7DD044"/>
      <color rgb="FFFF99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gif"/><Relationship Id="rId2" Type="http://schemas.openxmlformats.org/officeDocument/2006/relationships/image" Target="../media/image10.png"/><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409575</xdr:colOff>
      <xdr:row>3</xdr:row>
      <xdr:rowOff>85725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121228</xdr:colOff>
      <xdr:row>2</xdr:row>
      <xdr:rowOff>128770</xdr:rowOff>
    </xdr:from>
    <xdr:to>
      <xdr:col>32</xdr:col>
      <xdr:colOff>364548</xdr:colOff>
      <xdr:row>42</xdr:row>
      <xdr:rowOff>150355</xdr:rowOff>
    </xdr:to>
    <xdr:pic>
      <xdr:nvPicPr>
        <xdr:cNvPr id="2" name="Picture 1">
          <a:extLst>
            <a:ext uri="{FF2B5EF4-FFF2-40B4-BE49-F238E27FC236}">
              <a16:creationId xmlns:a16="http://schemas.microsoft.com/office/drawing/2014/main" id="{37E32072-C840-46DC-A71F-DE669712B824}"/>
            </a:ext>
          </a:extLst>
        </xdr:cNvPr>
        <xdr:cNvPicPr>
          <a:picLocks noChangeAspect="1"/>
        </xdr:cNvPicPr>
      </xdr:nvPicPr>
      <xdr:blipFill>
        <a:blip xmlns:r="http://schemas.openxmlformats.org/officeDocument/2006/relationships" r:embed="rId1"/>
        <a:stretch>
          <a:fillRect/>
        </a:stretch>
      </xdr:blipFill>
      <xdr:spPr>
        <a:xfrm>
          <a:off x="9265228" y="461279"/>
          <a:ext cx="10616045" cy="6671767"/>
        </a:xfrm>
        <a:prstGeom prst="rect">
          <a:avLst/>
        </a:prstGeom>
      </xdr:spPr>
    </xdr:pic>
    <xdr:clientData/>
  </xdr:twoCellAnchor>
  <xdr:twoCellAnchor editAs="oneCell">
    <xdr:from>
      <xdr:col>48</xdr:col>
      <xdr:colOff>0</xdr:colOff>
      <xdr:row>3</xdr:row>
      <xdr:rowOff>96982</xdr:rowOff>
    </xdr:from>
    <xdr:to>
      <xdr:col>60</xdr:col>
      <xdr:colOff>207818</xdr:colOff>
      <xdr:row>43</xdr:row>
      <xdr:rowOff>60432</xdr:rowOff>
    </xdr:to>
    <xdr:pic>
      <xdr:nvPicPr>
        <xdr:cNvPr id="4" name="Picture 3">
          <a:extLst>
            <a:ext uri="{FF2B5EF4-FFF2-40B4-BE49-F238E27FC236}">
              <a16:creationId xmlns:a16="http://schemas.microsoft.com/office/drawing/2014/main" id="{E28DAF7C-A7CE-496B-88FB-88256C64B7D3}"/>
            </a:ext>
          </a:extLst>
        </xdr:cNvPr>
        <xdr:cNvPicPr>
          <a:picLocks noChangeAspect="1"/>
        </xdr:cNvPicPr>
      </xdr:nvPicPr>
      <xdr:blipFill>
        <a:blip xmlns:r="http://schemas.openxmlformats.org/officeDocument/2006/relationships" r:embed="rId2"/>
        <a:stretch>
          <a:fillRect/>
        </a:stretch>
      </xdr:blipFill>
      <xdr:spPr>
        <a:xfrm>
          <a:off x="29260800" y="595746"/>
          <a:ext cx="7523018" cy="66060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564784</xdr:colOff>
      <xdr:row>17</xdr:row>
      <xdr:rowOff>73437</xdr:rowOff>
    </xdr:from>
    <xdr:to>
      <xdr:col>21</xdr:col>
      <xdr:colOff>67045</xdr:colOff>
      <xdr:row>36</xdr:row>
      <xdr:rowOff>135369</xdr:rowOff>
    </xdr:to>
    <xdr:pic>
      <xdr:nvPicPr>
        <xdr:cNvPr id="4" name="Picture 3">
          <a:extLst>
            <a:ext uri="{FF2B5EF4-FFF2-40B4-BE49-F238E27FC236}">
              <a16:creationId xmlns:a16="http://schemas.microsoft.com/office/drawing/2014/main" id="{C4F6CEA6-C90A-44A1-B897-C7178C52E0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899034" y="2915062"/>
          <a:ext cx="5614136" cy="3157557"/>
        </a:xfrm>
        <a:prstGeom prst="rect">
          <a:avLst/>
        </a:prstGeom>
      </xdr:spPr>
    </xdr:pic>
    <xdr:clientData/>
  </xdr:twoCellAnchor>
  <xdr:oneCellAnchor>
    <xdr:from>
      <xdr:col>0</xdr:col>
      <xdr:colOff>225425</xdr:colOff>
      <xdr:row>18</xdr:row>
      <xdr:rowOff>15081</xdr:rowOff>
    </xdr:from>
    <xdr:ext cx="6799263" cy="27001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24F23C78-62E6-5CFE-00BC-E91C7FA68022}"/>
                </a:ext>
              </a:extLst>
            </xdr:cNvPr>
            <xdr:cNvSpPr txBox="1"/>
          </xdr:nvSpPr>
          <xdr:spPr>
            <a:xfrm>
              <a:off x="225425" y="3015456"/>
              <a:ext cx="6799263" cy="2700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f>
                    <m:fPr>
                      <m:ctrlPr>
                        <a:rPr lang="en-US" sz="1100" b="0" i="1">
                          <a:latin typeface="Cambria Math" panose="02040503050406030204" pitchFamily="18" charset="0"/>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m:t>
                          </m:r>
                        </m:e>
                        <m:sub>
                          <m:r>
                            <a:rPr lang="en-US" sz="1100" b="0" i="1">
                              <a:solidFill>
                                <a:schemeClr val="tx1"/>
                              </a:solidFill>
                              <a:effectLst/>
                              <a:latin typeface="Cambria Math" panose="02040503050406030204" pitchFamily="18" charset="0"/>
                              <a:ea typeface="+mn-ea"/>
                              <a:cs typeface="+mn-cs"/>
                            </a:rPr>
                            <m:t>𝑚𝑥𝑏</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m:t>
                          </m:r>
                        </m:e>
                        <m:sub>
                          <m:r>
                            <a:rPr lang="en-US" sz="1100" b="0" i="1">
                              <a:solidFill>
                                <a:schemeClr val="tx1"/>
                              </a:solidFill>
                              <a:effectLst/>
                              <a:latin typeface="Cambria Math" panose="02040503050406030204" pitchFamily="18" charset="0"/>
                              <a:ea typeface="+mn-ea"/>
                              <a:cs typeface="+mn-cs"/>
                            </a:rPr>
                            <m:t>𝑚𝑛𝑐</m:t>
                          </m:r>
                        </m:sub>
                      </m:sSub>
                    </m:den>
                  </m:f>
                  <m:r>
                    <a:rPr lang="en-US" sz="1100" b="0" i="1">
                      <a:latin typeface="Cambria Math" panose="02040503050406030204" pitchFamily="18" charset="0"/>
                    </a:rPr>
                    <m:t>=1.8−0.051</m:t>
                  </m:r>
                  <m:d>
                    <m:dPr>
                      <m:ctrlPr>
                        <a:rPr lang="en-US" sz="11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𝑅</m:t>
                              </m:r>
                            </m:e>
                            <m:sub>
                              <m:r>
                                <a:rPr lang="en-US" sz="1100" b="0" i="1">
                                  <a:solidFill>
                                    <a:schemeClr val="tx1"/>
                                  </a:solidFill>
                                  <a:effectLst/>
                                  <a:latin typeface="Cambria Math" panose="02040503050406030204" pitchFamily="18" charset="0"/>
                                  <a:ea typeface="+mn-ea"/>
                                  <a:cs typeface="+mn-cs"/>
                                </a:rPr>
                                <m:t>𝑐</m:t>
                              </m:r>
                            </m:sub>
                          </m:sSub>
                        </m:num>
                        <m:den>
                          <m:r>
                            <a:rPr lang="en-US" sz="1100" b="0" i="1">
                              <a:solidFill>
                                <a:schemeClr val="tx1"/>
                              </a:solidFill>
                              <a:effectLst/>
                              <a:latin typeface="Cambria Math" panose="02040503050406030204" pitchFamily="18" charset="0"/>
                              <a:ea typeface="+mn-ea"/>
                              <a:cs typeface="+mn-cs"/>
                            </a:rPr>
                            <m:t>𝑊</m:t>
                          </m:r>
                        </m:den>
                      </m:f>
                    </m:e>
                  </m:d>
                  <m:r>
                    <a:rPr lang="en-US" sz="1100" b="0" i="1">
                      <a:latin typeface="Cambria Math" panose="02040503050406030204" pitchFamily="18" charset="0"/>
                    </a:rPr>
                    <m:t>+</m:t>
                  </m:r>
                  <m:r>
                    <a:rPr lang="en-US" sz="1100" b="0" i="1">
                      <a:solidFill>
                        <a:schemeClr val="tx1"/>
                      </a:solidFill>
                      <a:effectLst/>
                      <a:latin typeface="Cambria Math" panose="02040503050406030204" pitchFamily="18" charset="0"/>
                      <a:ea typeface="+mn-ea"/>
                      <a:cs typeface="+mn-cs"/>
                    </a:rPr>
                    <m:t>0.0084</m:t>
                  </m:r>
                  <m:d>
                    <m:dPr>
                      <m:ctrlPr>
                        <a:rPr lang="en-US" sz="11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𝑊</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𝐷</m:t>
                              </m:r>
                            </m:e>
                            <m:sub>
                              <m:r>
                                <a:rPr lang="en-US" sz="1100" b="0" i="1">
                                  <a:solidFill>
                                    <a:schemeClr val="tx1"/>
                                  </a:solidFill>
                                  <a:effectLst/>
                                  <a:latin typeface="Cambria Math" panose="02040503050406030204" pitchFamily="18" charset="0"/>
                                  <a:ea typeface="+mn-ea"/>
                                  <a:cs typeface="+mn-cs"/>
                                </a:rPr>
                                <m:t>𝑚𝑛𝑐</m:t>
                              </m:r>
                            </m:sub>
                          </m:sSub>
                        </m:den>
                      </m:f>
                    </m:e>
                  </m:d>
                </m:oMath>
              </a14:m>
              <a:r>
                <a:rPr lang="en-US" sz="1100"/>
                <a:t>  		                                  </a:t>
              </a:r>
              <a:r>
                <a:rPr lang="en-US" sz="1100" i="1"/>
                <a:t>(FHWA HEC</a:t>
              </a:r>
              <a:r>
                <a:rPr lang="en-US" sz="1100" i="1" baseline="0"/>
                <a:t> 23 (2009) </a:t>
              </a:r>
              <a:r>
                <a:rPr lang="en-US" sz="1100" i="1"/>
                <a:t>Equation 4.5)</a:t>
              </a:r>
            </a:p>
          </xdr:txBody>
        </xdr:sp>
      </mc:Choice>
      <mc:Fallback xmlns="">
        <xdr:sp macro="" textlink="">
          <xdr:nvSpPr>
            <xdr:cNvPr id="2" name="TextBox 1">
              <a:extLst>
                <a:ext uri="{FF2B5EF4-FFF2-40B4-BE49-F238E27FC236}">
                  <a16:creationId xmlns:a16="http://schemas.microsoft.com/office/drawing/2014/main" id="{24F23C78-62E6-5CFE-00BC-E91C7FA68022}"/>
                </a:ext>
              </a:extLst>
            </xdr:cNvPr>
            <xdr:cNvSpPr txBox="1"/>
          </xdr:nvSpPr>
          <xdr:spPr>
            <a:xfrm>
              <a:off x="225425" y="3015456"/>
              <a:ext cx="6799263" cy="2700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100" b="0" i="0">
                  <a:solidFill>
                    <a:schemeClr val="tx1"/>
                  </a:solidFill>
                  <a:effectLst/>
                  <a:latin typeface="Cambria Math" panose="02040503050406030204" pitchFamily="18" charset="0"/>
                  <a:ea typeface="+mn-ea"/>
                  <a:cs typeface="+mn-cs"/>
                </a:rPr>
                <a:t>𝐷_𝑚𝑥𝑏/𝐷_𝑚𝑛𝑐 </a:t>
              </a:r>
              <a:r>
                <a:rPr lang="en-US" sz="1100" b="0" i="0">
                  <a:latin typeface="Cambria Math" panose="02040503050406030204" pitchFamily="18" charset="0"/>
                </a:rPr>
                <a:t>=1.8−0.051(</a:t>
              </a:r>
              <a:r>
                <a:rPr lang="en-US" sz="1100" b="0" i="0">
                  <a:solidFill>
                    <a:schemeClr val="tx1"/>
                  </a:solidFill>
                  <a:effectLst/>
                  <a:latin typeface="Cambria Math" panose="02040503050406030204" pitchFamily="18" charset="0"/>
                  <a:ea typeface="+mn-ea"/>
                  <a:cs typeface="+mn-cs"/>
                </a:rPr>
                <a:t>𝑅_𝑐/𝑊)</a:t>
              </a: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0.0084</a:t>
              </a: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𝑊/𝐷_𝑚𝑛𝑐 )</a:t>
              </a:r>
              <a:r>
                <a:rPr lang="en-US" sz="1100"/>
                <a:t>  		                                  </a:t>
              </a:r>
              <a:r>
                <a:rPr lang="en-US" sz="1100" i="1"/>
                <a:t>(FHWA HEC</a:t>
              </a:r>
              <a:r>
                <a:rPr lang="en-US" sz="1100" i="1" baseline="0"/>
                <a:t> 23 (2009) </a:t>
              </a:r>
              <a:r>
                <a:rPr lang="en-US" sz="1100" i="1"/>
                <a:t>Equation 4.5)</a:t>
              </a:r>
            </a:p>
          </xdr:txBody>
        </xdr:sp>
      </mc:Fallback>
    </mc:AlternateContent>
    <xdr:clientData/>
  </xdr:oneCellAnchor>
  <xdr:twoCellAnchor>
    <xdr:from>
      <xdr:col>11</xdr:col>
      <xdr:colOff>563562</xdr:colOff>
      <xdr:row>39</xdr:row>
      <xdr:rowOff>39689</xdr:rowOff>
    </xdr:from>
    <xdr:to>
      <xdr:col>21</xdr:col>
      <xdr:colOff>79374</xdr:colOff>
      <xdr:row>45</xdr:row>
      <xdr:rowOff>31750</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6CD7094B-9C59-A9C0-2414-9E240C4EC199}"/>
                </a:ext>
              </a:extLst>
            </xdr:cNvPr>
            <xdr:cNvSpPr txBox="1"/>
          </xdr:nvSpPr>
          <xdr:spPr>
            <a:xfrm>
              <a:off x="7897812" y="5699127"/>
              <a:ext cx="5627687" cy="1119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 on </a:t>
              </a:r>
              <a14:m>
                <m:oMath xmlns:m="http://schemas.openxmlformats.org/officeDocument/2006/math">
                  <m:sSub>
                    <m:sSubPr>
                      <m:ctrlPr>
                        <a:rPr lang="en-US" sz="1100" b="1" i="1">
                          <a:latin typeface="Cambria Math" panose="02040503050406030204" pitchFamily="18" charset="0"/>
                        </a:rPr>
                      </m:ctrlPr>
                    </m:sSubPr>
                    <m:e>
                      <m:r>
                        <a:rPr lang="en-US" sz="1100" b="1" i="1">
                          <a:latin typeface="Cambria Math" panose="02040503050406030204" pitchFamily="18" charset="0"/>
                        </a:rPr>
                        <m:t>𝑫</m:t>
                      </m:r>
                    </m:e>
                    <m:sub>
                      <m:r>
                        <a:rPr lang="en-US" sz="1100" b="1" i="1">
                          <a:latin typeface="Cambria Math" panose="02040503050406030204" pitchFamily="18" charset="0"/>
                        </a:rPr>
                        <m:t>𝒎𝒏𝒄</m:t>
                      </m:r>
                    </m:sub>
                  </m:sSub>
                </m:oMath>
              </a14:m>
              <a:r>
                <a:rPr lang="en-US" sz="1100" b="1"/>
                <a:t>:</a:t>
              </a:r>
            </a:p>
            <a:p>
              <a:endParaRPr lang="en-US" sz="1100"/>
            </a:p>
            <a:p>
              <a:r>
                <a:rPr lang="en-US" sz="1100">
                  <a:solidFill>
                    <a:schemeClr val="dk1"/>
                  </a:solidFill>
                  <a:effectLst/>
                  <a:latin typeface="+mn-lt"/>
                  <a:ea typeface="+mn-ea"/>
                  <a:cs typeface="+mn-cs"/>
                </a:rPr>
                <a:t>Value</a:t>
              </a:r>
              <a:r>
                <a:rPr lang="en-US" sz="1100" baseline="0">
                  <a:solidFill>
                    <a:schemeClr val="dk1"/>
                  </a:solidFill>
                  <a:effectLst/>
                  <a:latin typeface="+mn-lt"/>
                  <a:ea typeface="+mn-ea"/>
                  <a:cs typeface="+mn-cs"/>
                </a:rPr>
                <a:t> can either</a:t>
              </a:r>
              <a:r>
                <a:rPr lang="en-US" sz="1100">
                  <a:solidFill>
                    <a:schemeClr val="dk1"/>
                  </a:solidFill>
                  <a:effectLst/>
                  <a:latin typeface="+mn-lt"/>
                  <a:ea typeface="+mn-ea"/>
                  <a:cs typeface="+mn-cs"/>
                </a:rPr>
                <a:t> be output from SMS as hydraulic depth using 1D-HYD coverage or bridge scour coverage. Make sure that the feature arcs are drawn correctly. These two methods should provide similar results.</a:t>
              </a:r>
              <a:endParaRPr lang="en-US" sz="1100"/>
            </a:p>
          </xdr:txBody>
        </xdr:sp>
      </mc:Choice>
      <mc:Fallback xmlns="">
        <xdr:sp macro="" textlink="">
          <xdr:nvSpPr>
            <xdr:cNvPr id="6" name="TextBox 5">
              <a:extLst>
                <a:ext uri="{FF2B5EF4-FFF2-40B4-BE49-F238E27FC236}">
                  <a16:creationId xmlns:a16="http://schemas.microsoft.com/office/drawing/2014/main" id="{6CD7094B-9C59-A9C0-2414-9E240C4EC199}"/>
                </a:ext>
              </a:extLst>
            </xdr:cNvPr>
            <xdr:cNvSpPr txBox="1"/>
          </xdr:nvSpPr>
          <xdr:spPr>
            <a:xfrm>
              <a:off x="7897812" y="5699127"/>
              <a:ext cx="5627687" cy="1119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Notes on </a:t>
              </a:r>
              <a:r>
                <a:rPr lang="en-US" sz="1100" b="1" i="0">
                  <a:latin typeface="Cambria Math" panose="02040503050406030204" pitchFamily="18" charset="0"/>
                </a:rPr>
                <a:t>𝑫_𝒎𝒏𝒄</a:t>
              </a:r>
              <a:r>
                <a:rPr lang="en-US" sz="1100" b="1"/>
                <a:t>:</a:t>
              </a:r>
            </a:p>
            <a:p>
              <a:endParaRPr lang="en-US" sz="1100"/>
            </a:p>
            <a:p>
              <a:r>
                <a:rPr lang="en-US" sz="1100">
                  <a:solidFill>
                    <a:schemeClr val="dk1"/>
                  </a:solidFill>
                  <a:effectLst/>
                  <a:latin typeface="+mn-lt"/>
                  <a:ea typeface="+mn-ea"/>
                  <a:cs typeface="+mn-cs"/>
                </a:rPr>
                <a:t>Value</a:t>
              </a:r>
              <a:r>
                <a:rPr lang="en-US" sz="1100" baseline="0">
                  <a:solidFill>
                    <a:schemeClr val="dk1"/>
                  </a:solidFill>
                  <a:effectLst/>
                  <a:latin typeface="+mn-lt"/>
                  <a:ea typeface="+mn-ea"/>
                  <a:cs typeface="+mn-cs"/>
                </a:rPr>
                <a:t> can either</a:t>
              </a:r>
              <a:r>
                <a:rPr lang="en-US" sz="1100">
                  <a:solidFill>
                    <a:schemeClr val="dk1"/>
                  </a:solidFill>
                  <a:effectLst/>
                  <a:latin typeface="+mn-lt"/>
                  <a:ea typeface="+mn-ea"/>
                  <a:cs typeface="+mn-cs"/>
                </a:rPr>
                <a:t> be output from SMS as hydraulic depth using 1D-HYD coverage or bridge scour coverage. Make sure that the feature arcs are drawn correctly. These two methods should provide similar results.</a:t>
              </a:r>
              <a:endParaRPr lang="en-US" sz="1100"/>
            </a:p>
          </xdr:txBody>
        </xdr:sp>
      </mc:Fallback>
    </mc:AlternateContent>
    <xdr:clientData/>
  </xdr:twoCellAnchor>
  <xdr:twoCellAnchor editAs="oneCell">
    <xdr:from>
      <xdr:col>11</xdr:col>
      <xdr:colOff>563574</xdr:colOff>
      <xdr:row>46</xdr:row>
      <xdr:rowOff>15876</xdr:rowOff>
    </xdr:from>
    <xdr:to>
      <xdr:col>21</xdr:col>
      <xdr:colOff>111125</xdr:colOff>
      <xdr:row>62</xdr:row>
      <xdr:rowOff>75885</xdr:rowOff>
    </xdr:to>
    <xdr:pic>
      <xdr:nvPicPr>
        <xdr:cNvPr id="7" name="Picture 6">
          <a:extLst>
            <a:ext uri="{FF2B5EF4-FFF2-40B4-BE49-F238E27FC236}">
              <a16:creationId xmlns:a16="http://schemas.microsoft.com/office/drawing/2014/main" id="{006762D1-0CC8-0D2E-A1A0-B33BF1B4BC0C}"/>
            </a:ext>
          </a:extLst>
        </xdr:cNvPr>
        <xdr:cNvPicPr>
          <a:picLocks noChangeAspect="1"/>
        </xdr:cNvPicPr>
      </xdr:nvPicPr>
      <xdr:blipFill>
        <a:blip xmlns:r="http://schemas.openxmlformats.org/officeDocument/2006/relationships" r:embed="rId2"/>
        <a:stretch>
          <a:fillRect/>
        </a:stretch>
      </xdr:blipFill>
      <xdr:spPr>
        <a:xfrm>
          <a:off x="7897824" y="6961189"/>
          <a:ext cx="5659426" cy="2560320"/>
        </a:xfrm>
        <a:prstGeom prst="rect">
          <a:avLst/>
        </a:prstGeom>
      </xdr:spPr>
    </xdr:pic>
    <xdr:clientData/>
  </xdr:twoCellAnchor>
  <xdr:twoCellAnchor>
    <xdr:from>
      <xdr:col>11</xdr:col>
      <xdr:colOff>579438</xdr:colOff>
      <xdr:row>64</xdr:row>
      <xdr:rowOff>23812</xdr:rowOff>
    </xdr:from>
    <xdr:to>
      <xdr:col>21</xdr:col>
      <xdr:colOff>142875</xdr:colOff>
      <xdr:row>68</xdr:row>
      <xdr:rowOff>7937</xdr:rowOff>
    </xdr:to>
    <xdr:sp macro="" textlink="">
      <xdr:nvSpPr>
        <xdr:cNvPr id="5" name="TextBox 4">
          <a:extLst>
            <a:ext uri="{FF2B5EF4-FFF2-40B4-BE49-F238E27FC236}">
              <a16:creationId xmlns:a16="http://schemas.microsoft.com/office/drawing/2014/main" id="{CD546DF2-484A-D140-96E4-268BE0A7018C}"/>
            </a:ext>
          </a:extLst>
        </xdr:cNvPr>
        <xdr:cNvSpPr txBox="1"/>
      </xdr:nvSpPr>
      <xdr:spPr>
        <a:xfrm>
          <a:off x="7913688" y="9699625"/>
          <a:ext cx="5675312" cy="49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on FOS: Contact HQ</a:t>
          </a:r>
          <a:r>
            <a:rPr lang="en-US" sz="1100" baseline="0"/>
            <a:t> Hydraulics if you believe additional FOS is necessary.</a:t>
          </a:r>
          <a:endParaRPr lang="en-US" sz="1100"/>
        </a:p>
      </xdr:txBody>
    </xdr:sp>
    <xdr:clientData/>
  </xdr:twoCellAnchor>
  <xdr:oneCellAnchor>
    <xdr:from>
      <xdr:col>10</xdr:col>
      <xdr:colOff>265112</xdr:colOff>
      <xdr:row>57</xdr:row>
      <xdr:rowOff>70643</xdr:rowOff>
    </xdr:from>
    <xdr:ext cx="65" cy="172227"/>
    <xdr:sp macro="" textlink="">
      <xdr:nvSpPr>
        <xdr:cNvPr id="8" name="TextBox 7">
          <a:extLst>
            <a:ext uri="{FF2B5EF4-FFF2-40B4-BE49-F238E27FC236}">
              <a16:creationId xmlns:a16="http://schemas.microsoft.com/office/drawing/2014/main" id="{87327139-377B-C117-5475-8337817C01EA}"/>
            </a:ext>
          </a:extLst>
        </xdr:cNvPr>
        <xdr:cNvSpPr txBox="1"/>
      </xdr:nvSpPr>
      <xdr:spPr>
        <a:xfrm>
          <a:off x="6940550" y="860345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0</xdr:col>
      <xdr:colOff>111126</xdr:colOff>
      <xdr:row>0</xdr:row>
      <xdr:rowOff>79375</xdr:rowOff>
    </xdr:from>
    <xdr:to>
      <xdr:col>3</xdr:col>
      <xdr:colOff>884875</xdr:colOff>
      <xdr:row>3</xdr:row>
      <xdr:rowOff>19050</xdr:rowOff>
    </xdr:to>
    <xdr:pic>
      <xdr:nvPicPr>
        <xdr:cNvPr id="10" name="Picture 9">
          <a:extLst>
            <a:ext uri="{FF2B5EF4-FFF2-40B4-BE49-F238E27FC236}">
              <a16:creationId xmlns:a16="http://schemas.microsoft.com/office/drawing/2014/main" id="{95CA0B02-4FA1-6660-9074-5E62551A5F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1126" y="79375"/>
          <a:ext cx="2829562" cy="457200"/>
        </a:xfrm>
        <a:prstGeom prst="rect">
          <a:avLst/>
        </a:prstGeom>
      </xdr:spPr>
    </xdr:pic>
    <xdr:clientData/>
  </xdr:twoCellAnchor>
  <xdr:oneCellAnchor>
    <xdr:from>
      <xdr:col>0</xdr:col>
      <xdr:colOff>153988</xdr:colOff>
      <xdr:row>65</xdr:row>
      <xdr:rowOff>62706</xdr:rowOff>
    </xdr:from>
    <xdr:ext cx="1827873" cy="183127"/>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4DDBCADE-2AC1-1C75-CECC-B8E6305D28D3}"/>
                </a:ext>
              </a:extLst>
            </xdr:cNvPr>
            <xdr:cNvSpPr txBox="1"/>
          </xdr:nvSpPr>
          <xdr:spPr>
            <a:xfrm>
              <a:off x="153988" y="10921206"/>
              <a:ext cx="1827873"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𝑏𝑠𝑓</m:t>
                        </m:r>
                      </m:sub>
                    </m:sSub>
                    <m:r>
                      <a:rPr lang="en-US" sz="1100" b="0" i="1">
                        <a:latin typeface="Cambria Math" panose="02040503050406030204" pitchFamily="18" charset="0"/>
                      </a:rPr>
                      <m:t>=(</m:t>
                    </m:r>
                    <m:r>
                      <a:rPr lang="en-US" sz="1100" b="0" i="1">
                        <a:latin typeface="Cambria Math" panose="02040503050406030204" pitchFamily="18" charset="0"/>
                      </a:rPr>
                      <m:t>𝐹𝑂𝑆</m:t>
                    </m:r>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𝐷</m:t>
                        </m:r>
                      </m:e>
                      <m:sub>
                        <m:r>
                          <a:rPr lang="en-US" sz="1100" b="0" i="1">
                            <a:latin typeface="Cambria Math" panose="02040503050406030204" pitchFamily="18" charset="0"/>
                          </a:rPr>
                          <m:t>𝑚𝑥𝑏</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𝐷</m:t>
                        </m:r>
                      </m:e>
                      <m:sub>
                        <m:r>
                          <a:rPr lang="en-US" sz="1100" b="0" i="1">
                            <a:latin typeface="Cambria Math" panose="02040503050406030204" pitchFamily="18" charset="0"/>
                          </a:rPr>
                          <m:t>𝑚𝑛𝑐</m:t>
                        </m:r>
                      </m:sub>
                    </m:sSub>
                  </m:oMath>
                </m:oMathPara>
              </a14:m>
              <a:endParaRPr lang="en-US" sz="1100"/>
            </a:p>
          </xdr:txBody>
        </xdr:sp>
      </mc:Choice>
      <mc:Fallback xmlns="">
        <xdr:sp macro="" textlink="">
          <xdr:nvSpPr>
            <xdr:cNvPr id="3" name="TextBox 2">
              <a:extLst>
                <a:ext uri="{FF2B5EF4-FFF2-40B4-BE49-F238E27FC236}">
                  <a16:creationId xmlns:a16="http://schemas.microsoft.com/office/drawing/2014/main" id="{4DDBCADE-2AC1-1C75-CECC-B8E6305D28D3}"/>
                </a:ext>
              </a:extLst>
            </xdr:cNvPr>
            <xdr:cNvSpPr txBox="1"/>
          </xdr:nvSpPr>
          <xdr:spPr>
            <a:xfrm>
              <a:off x="153988" y="10921206"/>
              <a:ext cx="1827873"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100" b="0" i="0">
                  <a:latin typeface="Cambria Math" panose="02040503050406030204" pitchFamily="18" charset="0"/>
                </a:rPr>
                <a:t>𝑦_𝑏𝑠𝑓=(𝐹𝑂𝑆∗𝐷_𝑚𝑥𝑏)−𝐷_𝑚𝑛𝑐</a:t>
              </a:r>
              <a:endParaRPr lang="en-US" sz="110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xdr:from>
      <xdr:col>3</xdr:col>
      <xdr:colOff>76200</xdr:colOff>
      <xdr:row>98</xdr:row>
      <xdr:rowOff>104775</xdr:rowOff>
    </xdr:from>
    <xdr:to>
      <xdr:col>3</xdr:col>
      <xdr:colOff>457200</xdr:colOff>
      <xdr:row>98</xdr:row>
      <xdr:rowOff>104775</xdr:rowOff>
    </xdr:to>
    <xdr:sp macro="" textlink="">
      <xdr:nvSpPr>
        <xdr:cNvPr id="3088" name="Line 2">
          <a:extLst>
            <a:ext uri="{FF2B5EF4-FFF2-40B4-BE49-F238E27FC236}">
              <a16:creationId xmlns:a16="http://schemas.microsoft.com/office/drawing/2014/main" id="{00000000-0008-0000-1000-0000100C0000}"/>
            </a:ext>
          </a:extLst>
        </xdr:cNvPr>
        <xdr:cNvSpPr>
          <a:spLocks noChangeShapeType="1"/>
        </xdr:cNvSpPr>
      </xdr:nvSpPr>
      <xdr:spPr bwMode="auto">
        <a:xfrm>
          <a:off x="2409825" y="198501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200025</xdr:colOff>
      <xdr:row>0</xdr:row>
      <xdr:rowOff>114300</xdr:rowOff>
    </xdr:from>
    <xdr:to>
      <xdr:col>0</xdr:col>
      <xdr:colOff>1019175</xdr:colOff>
      <xdr:row>3</xdr:row>
      <xdr:rowOff>85725</xdr:rowOff>
    </xdr:to>
    <xdr:pic>
      <xdr:nvPicPr>
        <xdr:cNvPr id="4" name="Picture 2">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76200</xdr:colOff>
      <xdr:row>88</xdr:row>
      <xdr:rowOff>95250</xdr:rowOff>
    </xdr:from>
    <xdr:to>
      <xdr:col>3</xdr:col>
      <xdr:colOff>457200</xdr:colOff>
      <xdr:row>88</xdr:row>
      <xdr:rowOff>95250</xdr:rowOff>
    </xdr:to>
    <xdr:sp macro="" textlink="">
      <xdr:nvSpPr>
        <xdr:cNvPr id="4164" name="Line 2">
          <a:extLst>
            <a:ext uri="{FF2B5EF4-FFF2-40B4-BE49-F238E27FC236}">
              <a16:creationId xmlns:a16="http://schemas.microsoft.com/office/drawing/2014/main" id="{00000000-0008-0000-1100-000044100000}"/>
            </a:ext>
          </a:extLst>
        </xdr:cNvPr>
        <xdr:cNvSpPr>
          <a:spLocks noChangeShapeType="1"/>
        </xdr:cNvSpPr>
      </xdr:nvSpPr>
      <xdr:spPr bwMode="auto">
        <a:xfrm>
          <a:off x="2409825" y="172593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514350</xdr:colOff>
      <xdr:row>12</xdr:row>
      <xdr:rowOff>47625</xdr:rowOff>
    </xdr:from>
    <xdr:to>
      <xdr:col>6</xdr:col>
      <xdr:colOff>860564</xdr:colOff>
      <xdr:row>23</xdr:row>
      <xdr:rowOff>123825</xdr:rowOff>
    </xdr:to>
    <xdr:pic>
      <xdr:nvPicPr>
        <xdr:cNvPr id="4165" name="Picture 3" descr="usdot_fhwa_hec18_ed4_scour 105">
          <a:extLst>
            <a:ext uri="{FF2B5EF4-FFF2-40B4-BE49-F238E27FC236}">
              <a16:creationId xmlns:a16="http://schemas.microsoft.com/office/drawing/2014/main" id="{00000000-0008-0000-1100-000045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2933700"/>
          <a:ext cx="44100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109</xdr:row>
      <xdr:rowOff>95250</xdr:rowOff>
    </xdr:from>
    <xdr:to>
      <xdr:col>3</xdr:col>
      <xdr:colOff>457200</xdr:colOff>
      <xdr:row>109</xdr:row>
      <xdr:rowOff>95250</xdr:rowOff>
    </xdr:to>
    <xdr:sp macro="" textlink="">
      <xdr:nvSpPr>
        <xdr:cNvPr id="4166" name="Line 4">
          <a:extLst>
            <a:ext uri="{FF2B5EF4-FFF2-40B4-BE49-F238E27FC236}">
              <a16:creationId xmlns:a16="http://schemas.microsoft.com/office/drawing/2014/main" id="{00000000-0008-0000-1100-000046100000}"/>
            </a:ext>
          </a:extLst>
        </xdr:cNvPr>
        <xdr:cNvSpPr>
          <a:spLocks noChangeShapeType="1"/>
        </xdr:cNvSpPr>
      </xdr:nvSpPr>
      <xdr:spPr bwMode="auto">
        <a:xfrm>
          <a:off x="2409825" y="214503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3</xdr:col>
      <xdr:colOff>76200</xdr:colOff>
      <xdr:row>132</xdr:row>
      <xdr:rowOff>95250</xdr:rowOff>
    </xdr:from>
    <xdr:to>
      <xdr:col>3</xdr:col>
      <xdr:colOff>457200</xdr:colOff>
      <xdr:row>132</xdr:row>
      <xdr:rowOff>95250</xdr:rowOff>
    </xdr:to>
    <xdr:sp macro="" textlink="">
      <xdr:nvSpPr>
        <xdr:cNvPr id="4167" name="Line 5">
          <a:extLst>
            <a:ext uri="{FF2B5EF4-FFF2-40B4-BE49-F238E27FC236}">
              <a16:creationId xmlns:a16="http://schemas.microsoft.com/office/drawing/2014/main" id="{00000000-0008-0000-1100-000047100000}"/>
            </a:ext>
          </a:extLst>
        </xdr:cNvPr>
        <xdr:cNvSpPr>
          <a:spLocks noChangeShapeType="1"/>
        </xdr:cNvSpPr>
      </xdr:nvSpPr>
      <xdr:spPr bwMode="auto">
        <a:xfrm>
          <a:off x="2409825" y="2596515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140</xdr:row>
      <xdr:rowOff>104775</xdr:rowOff>
    </xdr:from>
    <xdr:to>
      <xdr:col>3</xdr:col>
      <xdr:colOff>466725</xdr:colOff>
      <xdr:row>140</xdr:row>
      <xdr:rowOff>104775</xdr:rowOff>
    </xdr:to>
    <xdr:sp macro="" textlink="">
      <xdr:nvSpPr>
        <xdr:cNvPr id="4168" name="Line 6">
          <a:extLst>
            <a:ext uri="{FF2B5EF4-FFF2-40B4-BE49-F238E27FC236}">
              <a16:creationId xmlns:a16="http://schemas.microsoft.com/office/drawing/2014/main" id="{00000000-0008-0000-1100-000048100000}"/>
            </a:ext>
          </a:extLst>
        </xdr:cNvPr>
        <xdr:cNvSpPr>
          <a:spLocks noChangeShapeType="1"/>
        </xdr:cNvSpPr>
      </xdr:nvSpPr>
      <xdr:spPr bwMode="auto">
        <a:xfrm>
          <a:off x="2419350" y="2746057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200025</xdr:colOff>
      <xdr:row>0</xdr:row>
      <xdr:rowOff>114300</xdr:rowOff>
    </xdr:from>
    <xdr:to>
      <xdr:col>0</xdr:col>
      <xdr:colOff>1019175</xdr:colOff>
      <xdr:row>3</xdr:row>
      <xdr:rowOff>85725</xdr:rowOff>
    </xdr:to>
    <xdr:pic>
      <xdr:nvPicPr>
        <xdr:cNvPr id="8" name="Picture 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57150</xdr:colOff>
      <xdr:row>13</xdr:row>
      <xdr:rowOff>114300</xdr:rowOff>
    </xdr:from>
    <xdr:to>
      <xdr:col>2</xdr:col>
      <xdr:colOff>504825</xdr:colOff>
      <xdr:row>13</xdr:row>
      <xdr:rowOff>114300</xdr:rowOff>
    </xdr:to>
    <xdr:sp macro="" textlink="">
      <xdr:nvSpPr>
        <xdr:cNvPr id="7197" name="Line 1">
          <a:extLst>
            <a:ext uri="{FF2B5EF4-FFF2-40B4-BE49-F238E27FC236}">
              <a16:creationId xmlns:a16="http://schemas.microsoft.com/office/drawing/2014/main" id="{00000000-0008-0000-1200-00001D1C0000}"/>
            </a:ext>
          </a:extLst>
        </xdr:cNvPr>
        <xdr:cNvSpPr>
          <a:spLocks noChangeShapeType="1"/>
        </xdr:cNvSpPr>
      </xdr:nvSpPr>
      <xdr:spPr bwMode="auto">
        <a:xfrm>
          <a:off x="1276350" y="3543300"/>
          <a:ext cx="447675"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2</xdr:col>
      <xdr:colOff>57150</xdr:colOff>
      <xdr:row>24</xdr:row>
      <xdr:rowOff>114300</xdr:rowOff>
    </xdr:from>
    <xdr:to>
      <xdr:col>2</xdr:col>
      <xdr:colOff>504825</xdr:colOff>
      <xdr:row>24</xdr:row>
      <xdr:rowOff>114300</xdr:rowOff>
    </xdr:to>
    <xdr:sp macro="" textlink="">
      <xdr:nvSpPr>
        <xdr:cNvPr id="7198" name="Line 2">
          <a:extLst>
            <a:ext uri="{FF2B5EF4-FFF2-40B4-BE49-F238E27FC236}">
              <a16:creationId xmlns:a16="http://schemas.microsoft.com/office/drawing/2014/main" id="{00000000-0008-0000-1200-00001E1C0000}"/>
            </a:ext>
          </a:extLst>
        </xdr:cNvPr>
        <xdr:cNvSpPr>
          <a:spLocks noChangeShapeType="1"/>
        </xdr:cNvSpPr>
      </xdr:nvSpPr>
      <xdr:spPr bwMode="auto">
        <a:xfrm>
          <a:off x="1276350" y="5400675"/>
          <a:ext cx="447675"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200025</xdr:colOff>
      <xdr:row>0</xdr:row>
      <xdr:rowOff>114300</xdr:rowOff>
    </xdr:from>
    <xdr:to>
      <xdr:col>1</xdr:col>
      <xdr:colOff>409575</xdr:colOff>
      <xdr:row>3</xdr:row>
      <xdr:rowOff>85725</xdr:rowOff>
    </xdr:to>
    <xdr:pic>
      <xdr:nvPicPr>
        <xdr:cNvPr id="5" name="Picture 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409575</xdr:colOff>
      <xdr:row>3</xdr:row>
      <xdr:rowOff>85725</xdr:rowOff>
    </xdr:to>
    <xdr:pic>
      <xdr:nvPicPr>
        <xdr:cNvPr id="4" name="Picture 2">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409575</xdr:colOff>
      <xdr:row>3</xdr:row>
      <xdr:rowOff>85725</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123825</xdr:colOff>
      <xdr:row>40</xdr:row>
      <xdr:rowOff>85725</xdr:rowOff>
    </xdr:from>
    <xdr:to>
      <xdr:col>4</xdr:col>
      <xdr:colOff>409575</xdr:colOff>
      <xdr:row>40</xdr:row>
      <xdr:rowOff>85725</xdr:rowOff>
    </xdr:to>
    <xdr:sp macro="" textlink="">
      <xdr:nvSpPr>
        <xdr:cNvPr id="11292" name="Line 1">
          <a:extLst>
            <a:ext uri="{FF2B5EF4-FFF2-40B4-BE49-F238E27FC236}">
              <a16:creationId xmlns:a16="http://schemas.microsoft.com/office/drawing/2014/main" id="{00000000-0008-0000-0400-00001C2C0000}"/>
            </a:ext>
          </a:extLst>
        </xdr:cNvPr>
        <xdr:cNvSpPr>
          <a:spLocks noChangeShapeType="1"/>
        </xdr:cNvSpPr>
      </xdr:nvSpPr>
      <xdr:spPr bwMode="auto">
        <a:xfrm>
          <a:off x="2562225" y="8362950"/>
          <a:ext cx="285750" cy="0"/>
        </a:xfrm>
        <a:prstGeom prst="line">
          <a:avLst/>
        </a:prstGeom>
        <a:noFill/>
        <a:ln w="19050">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152400</xdr:rowOff>
    </xdr:from>
    <xdr:to>
      <xdr:col>8</xdr:col>
      <xdr:colOff>0</xdr:colOff>
      <xdr:row>48</xdr:row>
      <xdr:rowOff>76200</xdr:rowOff>
    </xdr:to>
    <xdr:sp macro="" textlink="">
      <xdr:nvSpPr>
        <xdr:cNvPr id="11267" name="Text Box 3">
          <a:extLst>
            <a:ext uri="{FF2B5EF4-FFF2-40B4-BE49-F238E27FC236}">
              <a16:creationId xmlns:a16="http://schemas.microsoft.com/office/drawing/2014/main" id="{00000000-0008-0000-0400-0000032C0000}"/>
            </a:ext>
          </a:extLst>
        </xdr:cNvPr>
        <xdr:cNvSpPr txBox="1">
          <a:spLocks noChangeArrowheads="1"/>
        </xdr:cNvSpPr>
      </xdr:nvSpPr>
      <xdr:spPr bwMode="auto">
        <a:xfrm>
          <a:off x="609600" y="8763000"/>
          <a:ext cx="4267200" cy="8953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 XXXX</a:t>
          </a:r>
        </a:p>
      </xdr:txBody>
    </xdr:sp>
    <xdr:clientData/>
  </xdr:twoCellAnchor>
  <xdr:twoCellAnchor editAs="oneCell">
    <xdr:from>
      <xdr:col>0</xdr:col>
      <xdr:colOff>230505</xdr:colOff>
      <xdr:row>0</xdr:row>
      <xdr:rowOff>114300</xdr:rowOff>
    </xdr:from>
    <xdr:to>
      <xdr:col>1</xdr:col>
      <xdr:colOff>421007</xdr:colOff>
      <xdr:row>3</xdr:row>
      <xdr:rowOff>66752</xdr:rowOff>
    </xdr:to>
    <xdr:pic>
      <xdr:nvPicPr>
        <xdr:cNvPr id="5" name="Picture 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30505" y="114300"/>
          <a:ext cx="822962" cy="455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266</xdr:row>
      <xdr:rowOff>28575</xdr:rowOff>
    </xdr:from>
    <xdr:to>
      <xdr:col>10</xdr:col>
      <xdr:colOff>381000</xdr:colOff>
      <xdr:row>266</xdr:row>
      <xdr:rowOff>28575</xdr:rowOff>
    </xdr:to>
    <xdr:sp macro="" textlink="">
      <xdr:nvSpPr>
        <xdr:cNvPr id="3" name="Line 3">
          <a:extLst>
            <a:ext uri="{FF2B5EF4-FFF2-40B4-BE49-F238E27FC236}">
              <a16:creationId xmlns:a16="http://schemas.microsoft.com/office/drawing/2014/main" id="{00000000-0008-0000-0900-000003000000}"/>
            </a:ext>
          </a:extLst>
        </xdr:cNvPr>
        <xdr:cNvSpPr>
          <a:spLocks noChangeShapeType="1"/>
        </xdr:cNvSpPr>
      </xdr:nvSpPr>
      <xdr:spPr bwMode="auto">
        <a:xfrm>
          <a:off x="6686550" y="5045392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0</xdr:col>
      <xdr:colOff>523875</xdr:colOff>
      <xdr:row>87</xdr:row>
      <xdr:rowOff>0</xdr:rowOff>
    </xdr:from>
    <xdr:to>
      <xdr:col>5</xdr:col>
      <xdr:colOff>600075</xdr:colOff>
      <xdr:row>97</xdr:row>
      <xdr:rowOff>114300</xdr:rowOff>
    </xdr:to>
    <xdr:sp macro="" textlink="">
      <xdr:nvSpPr>
        <xdr:cNvPr id="5" name="Text Box 6">
          <a:extLst>
            <a:ext uri="{FF2B5EF4-FFF2-40B4-BE49-F238E27FC236}">
              <a16:creationId xmlns:a16="http://schemas.microsoft.com/office/drawing/2014/main" id="{00000000-0008-0000-0900-000005000000}"/>
            </a:ext>
          </a:extLst>
        </xdr:cNvPr>
        <xdr:cNvSpPr txBox="1">
          <a:spLocks noChangeArrowheads="1"/>
        </xdr:cNvSpPr>
      </xdr:nvSpPr>
      <xdr:spPr bwMode="auto">
        <a:xfrm>
          <a:off x="523875" y="21440775"/>
          <a:ext cx="3629025" cy="1733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 XXXX</a:t>
          </a:r>
        </a:p>
        <a:p>
          <a:pPr algn="l" rtl="0">
            <a:defRPr sz="1000"/>
          </a:pPr>
          <a:r>
            <a:rPr lang="en-US" sz="1000" b="0" i="0" u="none" strike="noStrike" baseline="0">
              <a:solidFill>
                <a:srgbClr val="000000"/>
              </a:solidFill>
              <a:latin typeface="Arial"/>
              <a:cs typeface="Arial"/>
            </a:rPr>
            <a:t>2. XXXX</a:t>
          </a:r>
        </a:p>
      </xdr:txBody>
    </xdr:sp>
    <xdr:clientData/>
  </xdr:twoCellAnchor>
  <xdr:twoCellAnchor editAs="oneCell">
    <xdr:from>
      <xdr:col>0</xdr:col>
      <xdr:colOff>200025</xdr:colOff>
      <xdr:row>0</xdr:row>
      <xdr:rowOff>114300</xdr:rowOff>
    </xdr:from>
    <xdr:to>
      <xdr:col>0</xdr:col>
      <xdr:colOff>1019175</xdr:colOff>
      <xdr:row>3</xdr:row>
      <xdr:rowOff>85725</xdr:rowOff>
    </xdr:to>
    <xdr:pic>
      <xdr:nvPicPr>
        <xdr:cNvPr id="6" name="Picture 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134888</xdr:colOff>
      <xdr:row>3</xdr:row>
      <xdr:rowOff>4732</xdr:rowOff>
    </xdr:from>
    <xdr:to>
      <xdr:col>24</xdr:col>
      <xdr:colOff>608109</xdr:colOff>
      <xdr:row>28</xdr:row>
      <xdr:rowOff>72886</xdr:rowOff>
    </xdr:to>
    <xdr:pic>
      <xdr:nvPicPr>
        <xdr:cNvPr id="8" name="Picture 4">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7518" y="501689"/>
          <a:ext cx="8441091" cy="4805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123825</xdr:colOff>
      <xdr:row>82</xdr:row>
      <xdr:rowOff>104775</xdr:rowOff>
    </xdr:from>
    <xdr:to>
      <xdr:col>5</xdr:col>
      <xdr:colOff>504825</xdr:colOff>
      <xdr:row>82</xdr:row>
      <xdr:rowOff>104775</xdr:rowOff>
    </xdr:to>
    <xdr:sp macro="" textlink="">
      <xdr:nvSpPr>
        <xdr:cNvPr id="9" name="Line 4">
          <a:extLst>
            <a:ext uri="{FF2B5EF4-FFF2-40B4-BE49-F238E27FC236}">
              <a16:creationId xmlns:a16="http://schemas.microsoft.com/office/drawing/2014/main" id="{00000000-0008-0000-0900-000009000000}"/>
            </a:ext>
          </a:extLst>
        </xdr:cNvPr>
        <xdr:cNvSpPr>
          <a:spLocks noChangeShapeType="1"/>
        </xdr:cNvSpPr>
      </xdr:nvSpPr>
      <xdr:spPr bwMode="auto">
        <a:xfrm>
          <a:off x="3676650" y="1232535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251</xdr:row>
      <xdr:rowOff>28575</xdr:rowOff>
    </xdr:from>
    <xdr:to>
      <xdr:col>10</xdr:col>
      <xdr:colOff>381000</xdr:colOff>
      <xdr:row>251</xdr:row>
      <xdr:rowOff>28575</xdr:rowOff>
    </xdr:to>
    <xdr:sp macro="" textlink="">
      <xdr:nvSpPr>
        <xdr:cNvPr id="3" name="Line 3">
          <a:extLst>
            <a:ext uri="{FF2B5EF4-FFF2-40B4-BE49-F238E27FC236}">
              <a16:creationId xmlns:a16="http://schemas.microsoft.com/office/drawing/2014/main" id="{00000000-0008-0000-0A00-000003000000}"/>
            </a:ext>
          </a:extLst>
        </xdr:cNvPr>
        <xdr:cNvSpPr>
          <a:spLocks noChangeShapeType="1"/>
        </xdr:cNvSpPr>
      </xdr:nvSpPr>
      <xdr:spPr bwMode="auto">
        <a:xfrm>
          <a:off x="6686550" y="5045392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5</xdr:col>
      <xdr:colOff>123825</xdr:colOff>
      <xdr:row>68</xdr:row>
      <xdr:rowOff>104775</xdr:rowOff>
    </xdr:from>
    <xdr:to>
      <xdr:col>5</xdr:col>
      <xdr:colOff>504825</xdr:colOff>
      <xdr:row>68</xdr:row>
      <xdr:rowOff>104775</xdr:rowOff>
    </xdr:to>
    <xdr:sp macro="" textlink="">
      <xdr:nvSpPr>
        <xdr:cNvPr id="4" name="Line 4">
          <a:extLst>
            <a:ext uri="{FF2B5EF4-FFF2-40B4-BE49-F238E27FC236}">
              <a16:creationId xmlns:a16="http://schemas.microsoft.com/office/drawing/2014/main" id="{00000000-0008-0000-0A00-000004000000}"/>
            </a:ext>
          </a:extLst>
        </xdr:cNvPr>
        <xdr:cNvSpPr>
          <a:spLocks noChangeShapeType="1"/>
        </xdr:cNvSpPr>
      </xdr:nvSpPr>
      <xdr:spPr bwMode="auto">
        <a:xfrm>
          <a:off x="3676650" y="2085022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0</xdr:col>
      <xdr:colOff>523875</xdr:colOff>
      <xdr:row>72</xdr:row>
      <xdr:rowOff>0</xdr:rowOff>
    </xdr:from>
    <xdr:to>
      <xdr:col>5</xdr:col>
      <xdr:colOff>600075</xdr:colOff>
      <xdr:row>82</xdr:row>
      <xdr:rowOff>114300</xdr:rowOff>
    </xdr:to>
    <xdr:sp macro="" textlink="">
      <xdr:nvSpPr>
        <xdr:cNvPr id="5" name="Text Box 6">
          <a:extLst>
            <a:ext uri="{FF2B5EF4-FFF2-40B4-BE49-F238E27FC236}">
              <a16:creationId xmlns:a16="http://schemas.microsoft.com/office/drawing/2014/main" id="{00000000-0008-0000-0A00-000005000000}"/>
            </a:ext>
          </a:extLst>
        </xdr:cNvPr>
        <xdr:cNvSpPr txBox="1">
          <a:spLocks noChangeArrowheads="1"/>
        </xdr:cNvSpPr>
      </xdr:nvSpPr>
      <xdr:spPr bwMode="auto">
        <a:xfrm>
          <a:off x="523875" y="21440775"/>
          <a:ext cx="3629025" cy="1733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 XXXX</a:t>
          </a:r>
        </a:p>
        <a:p>
          <a:pPr algn="l" rtl="0">
            <a:defRPr sz="1000"/>
          </a:pPr>
          <a:r>
            <a:rPr lang="en-US" sz="1000" b="0" i="0" u="none" strike="noStrike" baseline="0">
              <a:solidFill>
                <a:srgbClr val="000000"/>
              </a:solidFill>
              <a:latin typeface="Arial"/>
              <a:cs typeface="Arial"/>
            </a:rPr>
            <a:t>2. XXXX</a:t>
          </a:r>
        </a:p>
      </xdr:txBody>
    </xdr:sp>
    <xdr:clientData/>
  </xdr:twoCellAnchor>
  <xdr:twoCellAnchor editAs="oneCell">
    <xdr:from>
      <xdr:col>0</xdr:col>
      <xdr:colOff>200025</xdr:colOff>
      <xdr:row>0</xdr:row>
      <xdr:rowOff>114300</xdr:rowOff>
    </xdr:from>
    <xdr:to>
      <xdr:col>0</xdr:col>
      <xdr:colOff>1019175</xdr:colOff>
      <xdr:row>3</xdr:row>
      <xdr:rowOff>85725</xdr:rowOff>
    </xdr:to>
    <xdr:pic>
      <xdr:nvPicPr>
        <xdr:cNvPr id="6" name="Picture 2">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78921</xdr:colOff>
      <xdr:row>21</xdr:row>
      <xdr:rowOff>97972</xdr:rowOff>
    </xdr:from>
    <xdr:to>
      <xdr:col>24</xdr:col>
      <xdr:colOff>554864</xdr:colOff>
      <xdr:row>47</xdr:row>
      <xdr:rowOff>103415</xdr:rowOff>
    </xdr:to>
    <xdr:pic>
      <xdr:nvPicPr>
        <xdr:cNvPr id="7" name="Picture 4">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9564" y="3663043"/>
          <a:ext cx="8436121" cy="4863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274</xdr:row>
      <xdr:rowOff>28575</xdr:rowOff>
    </xdr:from>
    <xdr:to>
      <xdr:col>10</xdr:col>
      <xdr:colOff>381000</xdr:colOff>
      <xdr:row>274</xdr:row>
      <xdr:rowOff>28575</xdr:rowOff>
    </xdr:to>
    <xdr:sp macro="" textlink="">
      <xdr:nvSpPr>
        <xdr:cNvPr id="2" name="Line 3">
          <a:extLst>
            <a:ext uri="{FF2B5EF4-FFF2-40B4-BE49-F238E27FC236}">
              <a16:creationId xmlns:a16="http://schemas.microsoft.com/office/drawing/2014/main" id="{00000000-0008-0000-0B00-000002000000}"/>
            </a:ext>
          </a:extLst>
        </xdr:cNvPr>
        <xdr:cNvSpPr>
          <a:spLocks noChangeShapeType="1"/>
        </xdr:cNvSpPr>
      </xdr:nvSpPr>
      <xdr:spPr bwMode="auto">
        <a:xfrm>
          <a:off x="6838950" y="447294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0</xdr:col>
      <xdr:colOff>523875</xdr:colOff>
      <xdr:row>95</xdr:row>
      <xdr:rowOff>0</xdr:rowOff>
    </xdr:from>
    <xdr:to>
      <xdr:col>5</xdr:col>
      <xdr:colOff>600075</xdr:colOff>
      <xdr:row>105</xdr:row>
      <xdr:rowOff>114300</xdr:rowOff>
    </xdr:to>
    <xdr:sp macro="" textlink="">
      <xdr:nvSpPr>
        <xdr:cNvPr id="3" name="Text Box 6">
          <a:extLst>
            <a:ext uri="{FF2B5EF4-FFF2-40B4-BE49-F238E27FC236}">
              <a16:creationId xmlns:a16="http://schemas.microsoft.com/office/drawing/2014/main" id="{00000000-0008-0000-0B00-000003000000}"/>
            </a:ext>
          </a:extLst>
        </xdr:cNvPr>
        <xdr:cNvSpPr txBox="1">
          <a:spLocks noChangeArrowheads="1"/>
        </xdr:cNvSpPr>
      </xdr:nvSpPr>
      <xdr:spPr bwMode="auto">
        <a:xfrm>
          <a:off x="523875" y="15716250"/>
          <a:ext cx="3781425" cy="1733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1. XXXX</a:t>
          </a:r>
        </a:p>
        <a:p>
          <a:pPr algn="l" rtl="0">
            <a:defRPr sz="1000"/>
          </a:pPr>
          <a:r>
            <a:rPr lang="en-US" sz="1000" b="0" i="0" u="none" strike="noStrike" baseline="0">
              <a:solidFill>
                <a:srgbClr val="000000"/>
              </a:solidFill>
              <a:latin typeface="Arial"/>
              <a:cs typeface="Arial"/>
            </a:rPr>
            <a:t>2. XXXX</a:t>
          </a:r>
        </a:p>
      </xdr:txBody>
    </xdr:sp>
    <xdr:clientData/>
  </xdr:twoCellAnchor>
  <xdr:twoCellAnchor editAs="oneCell">
    <xdr:from>
      <xdr:col>0</xdr:col>
      <xdr:colOff>200025</xdr:colOff>
      <xdr:row>0</xdr:row>
      <xdr:rowOff>114300</xdr:rowOff>
    </xdr:from>
    <xdr:to>
      <xdr:col>0</xdr:col>
      <xdr:colOff>1019175</xdr:colOff>
      <xdr:row>3</xdr:row>
      <xdr:rowOff>85725</xdr:rowOff>
    </xdr:to>
    <xdr:pic>
      <xdr:nvPicPr>
        <xdr:cNvPr id="4" name="Picture 2">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14300"/>
          <a:ext cx="8191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47625</xdr:colOff>
      <xdr:row>12</xdr:row>
      <xdr:rowOff>95250</xdr:rowOff>
    </xdr:from>
    <xdr:to>
      <xdr:col>24</xdr:col>
      <xdr:colOff>520846</xdr:colOff>
      <xdr:row>37</xdr:row>
      <xdr:rowOff>142875</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6175" y="2171700"/>
          <a:ext cx="8398021" cy="478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123825</xdr:colOff>
      <xdr:row>90</xdr:row>
      <xdr:rowOff>104775</xdr:rowOff>
    </xdr:from>
    <xdr:to>
      <xdr:col>5</xdr:col>
      <xdr:colOff>504825</xdr:colOff>
      <xdr:row>90</xdr:row>
      <xdr:rowOff>104775</xdr:rowOff>
    </xdr:to>
    <xdr:sp macro="" textlink="">
      <xdr:nvSpPr>
        <xdr:cNvPr id="6" name="Line 4">
          <a:extLst>
            <a:ext uri="{FF2B5EF4-FFF2-40B4-BE49-F238E27FC236}">
              <a16:creationId xmlns:a16="http://schemas.microsoft.com/office/drawing/2014/main" id="{00000000-0008-0000-0B00-000006000000}"/>
            </a:ext>
          </a:extLst>
        </xdr:cNvPr>
        <xdr:cNvSpPr>
          <a:spLocks noChangeShapeType="1"/>
        </xdr:cNvSpPr>
      </xdr:nvSpPr>
      <xdr:spPr bwMode="auto">
        <a:xfrm>
          <a:off x="3829050" y="1496377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95250</xdr:colOff>
      <xdr:row>81</xdr:row>
      <xdr:rowOff>95250</xdr:rowOff>
    </xdr:from>
    <xdr:to>
      <xdr:col>4</xdr:col>
      <xdr:colOff>476250</xdr:colOff>
      <xdr:row>81</xdr:row>
      <xdr:rowOff>95250</xdr:rowOff>
    </xdr:to>
    <xdr:sp macro="" textlink="">
      <xdr:nvSpPr>
        <xdr:cNvPr id="2" name="Line 2">
          <a:extLst>
            <a:ext uri="{FF2B5EF4-FFF2-40B4-BE49-F238E27FC236}">
              <a16:creationId xmlns:a16="http://schemas.microsoft.com/office/drawing/2014/main" id="{00000000-0008-0000-0C00-000002000000}"/>
            </a:ext>
          </a:extLst>
        </xdr:cNvPr>
        <xdr:cNvSpPr>
          <a:spLocks noChangeShapeType="1"/>
        </xdr:cNvSpPr>
      </xdr:nvSpPr>
      <xdr:spPr bwMode="auto">
        <a:xfrm>
          <a:off x="3038475" y="1675447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106</xdr:row>
      <xdr:rowOff>114300</xdr:rowOff>
    </xdr:from>
    <xdr:to>
      <xdr:col>4</xdr:col>
      <xdr:colOff>485775</xdr:colOff>
      <xdr:row>106</xdr:row>
      <xdr:rowOff>114300</xdr:rowOff>
    </xdr:to>
    <xdr:sp macro="" textlink="">
      <xdr:nvSpPr>
        <xdr:cNvPr id="3" name="Line 3">
          <a:extLst>
            <a:ext uri="{FF2B5EF4-FFF2-40B4-BE49-F238E27FC236}">
              <a16:creationId xmlns:a16="http://schemas.microsoft.com/office/drawing/2014/main" id="{00000000-0008-0000-0C00-000003000000}"/>
            </a:ext>
          </a:extLst>
        </xdr:cNvPr>
        <xdr:cNvSpPr>
          <a:spLocks noChangeShapeType="1"/>
        </xdr:cNvSpPr>
      </xdr:nvSpPr>
      <xdr:spPr bwMode="auto">
        <a:xfrm>
          <a:off x="3029510" y="19018624"/>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336855</xdr:colOff>
      <xdr:row>0</xdr:row>
      <xdr:rowOff>114300</xdr:rowOff>
    </xdr:from>
    <xdr:to>
      <xdr:col>1</xdr:col>
      <xdr:colOff>304553</xdr:colOff>
      <xdr:row>3</xdr:row>
      <xdr:rowOff>85725</xdr:rowOff>
    </xdr:to>
    <xdr:pic>
      <xdr:nvPicPr>
        <xdr:cNvPr id="6" name="Picture 2">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3998"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336855</xdr:colOff>
      <xdr:row>53</xdr:row>
      <xdr:rowOff>114300</xdr:rowOff>
    </xdr:from>
    <xdr:ext cx="843998" cy="474345"/>
    <xdr:pic>
      <xdr:nvPicPr>
        <xdr:cNvPr id="7" name="Picture 2">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3998"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4</xdr:col>
      <xdr:colOff>104775</xdr:colOff>
      <xdr:row>80</xdr:row>
      <xdr:rowOff>114300</xdr:rowOff>
    </xdr:from>
    <xdr:to>
      <xdr:col>4</xdr:col>
      <xdr:colOff>485775</xdr:colOff>
      <xdr:row>80</xdr:row>
      <xdr:rowOff>114300</xdr:rowOff>
    </xdr:to>
    <xdr:sp macro="" textlink="">
      <xdr:nvSpPr>
        <xdr:cNvPr id="2119" name="Line 4">
          <a:extLst>
            <a:ext uri="{FF2B5EF4-FFF2-40B4-BE49-F238E27FC236}">
              <a16:creationId xmlns:a16="http://schemas.microsoft.com/office/drawing/2014/main" id="{00000000-0008-0000-0D00-000047080000}"/>
            </a:ext>
          </a:extLst>
        </xdr:cNvPr>
        <xdr:cNvSpPr>
          <a:spLocks noChangeShapeType="1"/>
        </xdr:cNvSpPr>
      </xdr:nvSpPr>
      <xdr:spPr bwMode="auto">
        <a:xfrm>
          <a:off x="3048000" y="31480125"/>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10</xdr:col>
      <xdr:colOff>0</xdr:colOff>
      <xdr:row>211</xdr:row>
      <xdr:rowOff>66675</xdr:rowOff>
    </xdr:from>
    <xdr:to>
      <xdr:col>10</xdr:col>
      <xdr:colOff>381000</xdr:colOff>
      <xdr:row>211</xdr:row>
      <xdr:rowOff>66675</xdr:rowOff>
    </xdr:to>
    <xdr:sp macro="" textlink="">
      <xdr:nvSpPr>
        <xdr:cNvPr id="2120" name="Line 5">
          <a:extLst>
            <a:ext uri="{FF2B5EF4-FFF2-40B4-BE49-F238E27FC236}">
              <a16:creationId xmlns:a16="http://schemas.microsoft.com/office/drawing/2014/main" id="{00000000-0008-0000-0D00-000048080000}"/>
            </a:ext>
          </a:extLst>
        </xdr:cNvPr>
        <xdr:cNvSpPr>
          <a:spLocks noChangeShapeType="1"/>
        </xdr:cNvSpPr>
      </xdr:nvSpPr>
      <xdr:spPr bwMode="auto">
        <a:xfrm>
          <a:off x="6600825" y="526923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4</xdr:col>
      <xdr:colOff>104775</xdr:colOff>
      <xdr:row>103</xdr:row>
      <xdr:rowOff>114300</xdr:rowOff>
    </xdr:from>
    <xdr:to>
      <xdr:col>4</xdr:col>
      <xdr:colOff>485775</xdr:colOff>
      <xdr:row>103</xdr:row>
      <xdr:rowOff>114300</xdr:rowOff>
    </xdr:to>
    <xdr:sp macro="" textlink="">
      <xdr:nvSpPr>
        <xdr:cNvPr id="10" name="Line 4">
          <a:extLst>
            <a:ext uri="{FF2B5EF4-FFF2-40B4-BE49-F238E27FC236}">
              <a16:creationId xmlns:a16="http://schemas.microsoft.com/office/drawing/2014/main" id="{00000000-0008-0000-0D00-00000A000000}"/>
            </a:ext>
          </a:extLst>
        </xdr:cNvPr>
        <xdr:cNvSpPr>
          <a:spLocks noChangeShapeType="1"/>
        </xdr:cNvSpPr>
      </xdr:nvSpPr>
      <xdr:spPr bwMode="auto">
        <a:xfrm>
          <a:off x="3061666" y="14675126"/>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336855</xdr:colOff>
      <xdr:row>0</xdr:row>
      <xdr:rowOff>114300</xdr:rowOff>
    </xdr:from>
    <xdr:to>
      <xdr:col>1</xdr:col>
      <xdr:colOff>304553</xdr:colOff>
      <xdr:row>3</xdr:row>
      <xdr:rowOff>85725</xdr:rowOff>
    </xdr:to>
    <xdr:pic>
      <xdr:nvPicPr>
        <xdr:cNvPr id="7" name="Picture 2">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2341" cy="46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336855</xdr:colOff>
      <xdr:row>54</xdr:row>
      <xdr:rowOff>114300</xdr:rowOff>
    </xdr:from>
    <xdr:ext cx="842341" cy="468382"/>
    <xdr:pic>
      <xdr:nvPicPr>
        <xdr:cNvPr id="11" name="Picture 2">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2341" cy="468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twoCellAnchor>
    <xdr:from>
      <xdr:col>6</xdr:col>
      <xdr:colOff>95250</xdr:colOff>
      <xdr:row>53</xdr:row>
      <xdr:rowOff>95250</xdr:rowOff>
    </xdr:from>
    <xdr:to>
      <xdr:col>6</xdr:col>
      <xdr:colOff>476250</xdr:colOff>
      <xdr:row>53</xdr:row>
      <xdr:rowOff>95250</xdr:rowOff>
    </xdr:to>
    <xdr:sp macro="" textlink="">
      <xdr:nvSpPr>
        <xdr:cNvPr id="2" name="Line 2">
          <a:extLst>
            <a:ext uri="{FF2B5EF4-FFF2-40B4-BE49-F238E27FC236}">
              <a16:creationId xmlns:a16="http://schemas.microsoft.com/office/drawing/2014/main" id="{00000000-0008-0000-0E00-000002000000}"/>
            </a:ext>
          </a:extLst>
        </xdr:cNvPr>
        <xdr:cNvSpPr>
          <a:spLocks noChangeShapeType="1"/>
        </xdr:cNvSpPr>
      </xdr:nvSpPr>
      <xdr:spPr bwMode="auto">
        <a:xfrm>
          <a:off x="3038475" y="1482090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336855</xdr:colOff>
      <xdr:row>0</xdr:row>
      <xdr:rowOff>114300</xdr:rowOff>
    </xdr:from>
    <xdr:to>
      <xdr:col>1</xdr:col>
      <xdr:colOff>304553</xdr:colOff>
      <xdr:row>3</xdr:row>
      <xdr:rowOff>85725</xdr:rowOff>
    </xdr:to>
    <xdr:pic>
      <xdr:nvPicPr>
        <xdr:cNvPr id="4" name="Picture 2">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3998"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103909</xdr:colOff>
      <xdr:row>18</xdr:row>
      <xdr:rowOff>121227</xdr:rowOff>
    </xdr:from>
    <xdr:to>
      <xdr:col>15</xdr:col>
      <xdr:colOff>188938</xdr:colOff>
      <xdr:row>55</xdr:row>
      <xdr:rowOff>13885</xdr:rowOff>
    </xdr:to>
    <xdr:pic>
      <xdr:nvPicPr>
        <xdr:cNvPr id="5" name="Picture 4">
          <a:extLst>
            <a:ext uri="{FF2B5EF4-FFF2-40B4-BE49-F238E27FC236}">
              <a16:creationId xmlns:a16="http://schemas.microsoft.com/office/drawing/2014/main" id="{37FDA65D-906A-4302-AAC2-B17C0D751CFE}"/>
            </a:ext>
          </a:extLst>
        </xdr:cNvPr>
        <xdr:cNvPicPr>
          <a:picLocks noChangeAspect="1"/>
        </xdr:cNvPicPr>
      </xdr:nvPicPr>
      <xdr:blipFill>
        <a:blip xmlns:r="http://schemas.openxmlformats.org/officeDocument/2006/relationships" r:embed="rId2"/>
        <a:stretch>
          <a:fillRect/>
        </a:stretch>
      </xdr:blipFill>
      <xdr:spPr>
        <a:xfrm>
          <a:off x="6598227" y="3325091"/>
          <a:ext cx="5453666" cy="6456249"/>
        </a:xfrm>
        <a:prstGeom prst="rect">
          <a:avLst/>
        </a:prstGeom>
      </xdr:spPr>
    </xdr:pic>
    <xdr:clientData/>
  </xdr:twoCellAnchor>
  <xdr:twoCellAnchor editAs="oneCell">
    <xdr:from>
      <xdr:col>15</xdr:col>
      <xdr:colOff>277091</xdr:colOff>
      <xdr:row>18</xdr:row>
      <xdr:rowOff>103909</xdr:rowOff>
    </xdr:from>
    <xdr:to>
      <xdr:col>24</xdr:col>
      <xdr:colOff>573062</xdr:colOff>
      <xdr:row>55</xdr:row>
      <xdr:rowOff>4849</xdr:rowOff>
    </xdr:to>
    <xdr:pic>
      <xdr:nvPicPr>
        <xdr:cNvPr id="6" name="Picture 5">
          <a:extLst>
            <a:ext uri="{FF2B5EF4-FFF2-40B4-BE49-F238E27FC236}">
              <a16:creationId xmlns:a16="http://schemas.microsoft.com/office/drawing/2014/main" id="{5CC29CEB-60CC-4F2F-B9BC-8BAAE0B0BA4E}"/>
            </a:ext>
          </a:extLst>
        </xdr:cNvPr>
        <xdr:cNvPicPr>
          <a:picLocks noChangeAspect="1"/>
        </xdr:cNvPicPr>
      </xdr:nvPicPr>
      <xdr:blipFill>
        <a:blip xmlns:r="http://schemas.openxmlformats.org/officeDocument/2006/relationships" r:embed="rId3"/>
        <a:stretch>
          <a:fillRect/>
        </a:stretch>
      </xdr:blipFill>
      <xdr:spPr>
        <a:xfrm>
          <a:off x="12140046" y="3307773"/>
          <a:ext cx="5751198" cy="64645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95250</xdr:colOff>
      <xdr:row>57</xdr:row>
      <xdr:rowOff>95250</xdr:rowOff>
    </xdr:from>
    <xdr:to>
      <xdr:col>6</xdr:col>
      <xdr:colOff>476250</xdr:colOff>
      <xdr:row>57</xdr:row>
      <xdr:rowOff>95250</xdr:rowOff>
    </xdr:to>
    <xdr:sp macro="" textlink="">
      <xdr:nvSpPr>
        <xdr:cNvPr id="2" name="Line 2">
          <a:extLst>
            <a:ext uri="{FF2B5EF4-FFF2-40B4-BE49-F238E27FC236}">
              <a16:creationId xmlns:a16="http://schemas.microsoft.com/office/drawing/2014/main" id="{00000000-0008-0000-0F00-000002000000}"/>
            </a:ext>
          </a:extLst>
        </xdr:cNvPr>
        <xdr:cNvSpPr>
          <a:spLocks noChangeShapeType="1"/>
        </xdr:cNvSpPr>
      </xdr:nvSpPr>
      <xdr:spPr bwMode="auto">
        <a:xfrm>
          <a:off x="2868930" y="16935450"/>
          <a:ext cx="381000" cy="0"/>
        </a:xfrm>
        <a:prstGeom prst="line">
          <a:avLst/>
        </a:prstGeom>
        <a:noFill/>
        <a:ln w="28575">
          <a:solidFill>
            <a:srgbClr val="000000"/>
          </a:solidFill>
          <a:round/>
          <a:headEnd type="triangle" w="med" len="med"/>
          <a:tailEnd/>
        </a:ln>
        <a:extLst>
          <a:ext uri="{909E8E84-426E-40DD-AFC4-6F175D3DCCD1}">
            <a14:hiddenFill xmlns:a14="http://schemas.microsoft.com/office/drawing/2010/main">
              <a:noFill/>
            </a14:hiddenFill>
          </a:ext>
        </a:extLst>
      </xdr:spPr>
    </xdr:sp>
    <xdr:clientData/>
  </xdr:twoCellAnchor>
  <xdr:twoCellAnchor editAs="oneCell">
    <xdr:from>
      <xdr:col>0</xdr:col>
      <xdr:colOff>336855</xdr:colOff>
      <xdr:row>0</xdr:row>
      <xdr:rowOff>114300</xdr:rowOff>
    </xdr:from>
    <xdr:to>
      <xdr:col>1</xdr:col>
      <xdr:colOff>304553</xdr:colOff>
      <xdr:row>3</xdr:row>
      <xdr:rowOff>85725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6855" y="114300"/>
          <a:ext cx="843998"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68035</xdr:colOff>
      <xdr:row>33</xdr:row>
      <xdr:rowOff>176894</xdr:rowOff>
    </xdr:from>
    <xdr:to>
      <xdr:col>16</xdr:col>
      <xdr:colOff>263308</xdr:colOff>
      <xdr:row>60</xdr:row>
      <xdr:rowOff>444</xdr:rowOff>
    </xdr:to>
    <xdr:pic>
      <xdr:nvPicPr>
        <xdr:cNvPr id="4" name="Picture 3">
          <a:extLst>
            <a:ext uri="{FF2B5EF4-FFF2-40B4-BE49-F238E27FC236}">
              <a16:creationId xmlns:a16="http://schemas.microsoft.com/office/drawing/2014/main" id="{4EDA6B3F-547D-4493-9404-C619FF8D9C1F}"/>
            </a:ext>
          </a:extLst>
        </xdr:cNvPr>
        <xdr:cNvPicPr>
          <a:picLocks noChangeAspect="1"/>
        </xdr:cNvPicPr>
      </xdr:nvPicPr>
      <xdr:blipFill>
        <a:blip xmlns:r="http://schemas.openxmlformats.org/officeDocument/2006/relationships" r:embed="rId2"/>
        <a:stretch>
          <a:fillRect/>
        </a:stretch>
      </xdr:blipFill>
      <xdr:spPr>
        <a:xfrm>
          <a:off x="6572249" y="6218465"/>
          <a:ext cx="4644809" cy="4626872"/>
        </a:xfrm>
        <a:prstGeom prst="rect">
          <a:avLst/>
        </a:prstGeom>
      </xdr:spPr>
    </xdr:pic>
    <xdr:clientData/>
  </xdr:twoCellAnchor>
  <xdr:twoCellAnchor editAs="oneCell">
    <xdr:from>
      <xdr:col>16</xdr:col>
      <xdr:colOff>353786</xdr:colOff>
      <xdr:row>33</xdr:row>
      <xdr:rowOff>190501</xdr:rowOff>
    </xdr:from>
    <xdr:to>
      <xdr:col>23</xdr:col>
      <xdr:colOff>305545</xdr:colOff>
      <xdr:row>59</xdr:row>
      <xdr:rowOff>158098</xdr:rowOff>
    </xdr:to>
    <xdr:pic>
      <xdr:nvPicPr>
        <xdr:cNvPr id="5" name="Picture 4">
          <a:extLst>
            <a:ext uri="{FF2B5EF4-FFF2-40B4-BE49-F238E27FC236}">
              <a16:creationId xmlns:a16="http://schemas.microsoft.com/office/drawing/2014/main" id="{46404E00-9134-4E03-A8A6-F4B3C9031FF5}"/>
            </a:ext>
          </a:extLst>
        </xdr:cNvPr>
        <xdr:cNvPicPr>
          <a:picLocks noChangeAspect="1"/>
        </xdr:cNvPicPr>
      </xdr:nvPicPr>
      <xdr:blipFill>
        <a:blip xmlns:r="http://schemas.openxmlformats.org/officeDocument/2006/relationships" r:embed="rId3"/>
        <a:stretch>
          <a:fillRect/>
        </a:stretch>
      </xdr:blipFill>
      <xdr:spPr>
        <a:xfrm>
          <a:off x="11307536" y="6232072"/>
          <a:ext cx="4238009" cy="46076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drinc.sharepoint.com/Users/sbevan/AppData/Local/Microsoft/Windows/INetCache/Content.Outlook/PY5SKWC8/Scour_Templates_20190906%20-%20Ma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_Notes"/>
      <sheetName val="Instructions"/>
      <sheetName val="Geotech_Data"/>
      <sheetName val="Coversheet"/>
      <sheetName val="CS Type LChR"/>
      <sheetName val="Long Term"/>
      <sheetName val="CS Type Ch"/>
      <sheetName val="CS (Clear-Water)"/>
      <sheetName val="CS (Live-Bed)"/>
      <sheetName val="CS (Live-Bed) k1"/>
      <sheetName val="Sheet1"/>
      <sheetName val="Long Term Degradation"/>
      <sheetName val="VCS (Live-Bed)"/>
      <sheetName val="VCS (Clear-Water)"/>
      <sheetName val="VCS (Live-Bed Overtopping)"/>
      <sheetName val="Abutment Froelich"/>
      <sheetName val="Abutment HIRE"/>
      <sheetName val="Abutment NCHRP (Live-Bed)"/>
      <sheetName val="Abutment NCHRP (Clear-Water)"/>
      <sheetName val="Pier Scour"/>
      <sheetName val="Complex Pier Scour PC Case 1"/>
      <sheetName val="Pier K2"/>
      <sheetName val="Wall Scour EQ 4.3"/>
      <sheetName val="Wall Scour EQ 4.4"/>
    </sheetNames>
    <sheetDataSet>
      <sheetData sheetId="0"/>
      <sheetData sheetId="1"/>
      <sheetData sheetId="2"/>
      <sheetData sheetId="3"/>
      <sheetData sheetId="4"/>
      <sheetData sheetId="5"/>
      <sheetData sheetId="6"/>
      <sheetData sheetId="7"/>
      <sheetData sheetId="8"/>
      <sheetData sheetId="9"/>
      <sheetData sheetId="10"/>
      <sheetData sheetId="11">
        <row r="19">
          <cell r="C19">
            <v>60.1</v>
          </cell>
        </row>
        <row r="21">
          <cell r="C21">
            <v>0.8833333333333333</v>
          </cell>
        </row>
        <row r="24">
          <cell r="C24">
            <v>10.319148936170214</v>
          </cell>
        </row>
        <row r="25">
          <cell r="C25">
            <v>0.08</v>
          </cell>
        </row>
      </sheetData>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hwa.dot.gov/engineering/hydraulics/library_arc.cfm?pub_number=23&amp;id=142" TargetMode="External"/><Relationship Id="rId2" Type="http://schemas.openxmlformats.org/officeDocument/2006/relationships/hyperlink" Target="https://www.fhwa.dot.gov/engineering/hydraulics/library_arc.cfm?pub_number=17&amp;id=151" TargetMode="External"/><Relationship Id="rId1" Type="http://schemas.openxmlformats.org/officeDocument/2006/relationships/hyperlink" Target="https://www.fhwa.dot.gov/engineering/hydraulics/library_listing.cfm" TargetMode="External"/><Relationship Id="rId5" Type="http://schemas.openxmlformats.org/officeDocument/2006/relationships/printerSettings" Target="../printerSettings/printerSettings1.bin"/><Relationship Id="rId4" Type="http://schemas.openxmlformats.org/officeDocument/2006/relationships/hyperlink" Target="https://www.fhwa.dot.gov/engineering/hydraulics/library_arc.cfm?pub_number=23&amp;id=143"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97"/>
  <sheetViews>
    <sheetView topLeftCell="A10" workbookViewId="0">
      <selection activeCell="L18" sqref="L18"/>
    </sheetView>
  </sheetViews>
  <sheetFormatPr defaultRowHeight="12.75" x14ac:dyDescent="0.2"/>
  <cols>
    <col min="2" max="2" width="12.7109375" customWidth="1"/>
    <col min="4" max="4" width="28.85546875" customWidth="1"/>
    <col min="5" max="5" width="48.7109375" customWidth="1"/>
    <col min="6" max="6" width="12.5703125" bestFit="1" customWidth="1"/>
    <col min="7" max="7" width="16.5703125" bestFit="1" customWidth="1"/>
  </cols>
  <sheetData>
    <row r="2" spans="2:10" x14ac:dyDescent="0.2">
      <c r="B2" s="5" t="s">
        <v>0</v>
      </c>
      <c r="C2" s="5"/>
      <c r="D2" s="5" t="s">
        <v>1</v>
      </c>
      <c r="E2" s="5"/>
    </row>
    <row r="3" spans="2:10" x14ac:dyDescent="0.2">
      <c r="B3" t="s">
        <v>2</v>
      </c>
      <c r="D3" t="s">
        <v>3</v>
      </c>
    </row>
    <row r="4" spans="2:10" x14ac:dyDescent="0.2">
      <c r="B4" t="s">
        <v>4</v>
      </c>
      <c r="D4" t="s">
        <v>5</v>
      </c>
    </row>
    <row r="5" spans="2:10" x14ac:dyDescent="0.2">
      <c r="B5" t="s">
        <v>6</v>
      </c>
      <c r="D5" t="s">
        <v>7</v>
      </c>
    </row>
    <row r="6" spans="2:10" x14ac:dyDescent="0.2">
      <c r="B6" t="s">
        <v>8</v>
      </c>
      <c r="D6" t="s">
        <v>9</v>
      </c>
    </row>
    <row r="7" spans="2:10" x14ac:dyDescent="0.2">
      <c r="B7" t="s">
        <v>10</v>
      </c>
      <c r="D7" t="s">
        <v>7</v>
      </c>
    </row>
    <row r="8" spans="2:10" x14ac:dyDescent="0.2">
      <c r="B8" t="s">
        <v>11</v>
      </c>
      <c r="D8" t="s">
        <v>7</v>
      </c>
    </row>
    <row r="9" spans="2:10" x14ac:dyDescent="0.2">
      <c r="B9" t="s">
        <v>12</v>
      </c>
      <c r="D9" t="s">
        <v>7</v>
      </c>
    </row>
    <row r="12" spans="2:10" x14ac:dyDescent="0.2">
      <c r="B12" s="70" t="s">
        <v>13</v>
      </c>
      <c r="C12" s="70" t="s">
        <v>14</v>
      </c>
      <c r="D12" s="5"/>
      <c r="E12" s="5"/>
      <c r="F12" s="5"/>
      <c r="G12" s="5"/>
      <c r="H12" s="5"/>
      <c r="I12" s="5"/>
      <c r="J12" s="5"/>
    </row>
    <row r="13" spans="2:10" x14ac:dyDescent="0.2">
      <c r="B13" s="172">
        <v>39912</v>
      </c>
      <c r="C13" s="39" t="s">
        <v>15</v>
      </c>
    </row>
    <row r="14" spans="2:10" x14ac:dyDescent="0.2">
      <c r="B14" s="7"/>
      <c r="D14" t="s">
        <v>16</v>
      </c>
    </row>
    <row r="15" spans="2:10" x14ac:dyDescent="0.2">
      <c r="B15" s="7"/>
      <c r="D15" t="s">
        <v>17</v>
      </c>
    </row>
    <row r="16" spans="2:10" x14ac:dyDescent="0.2">
      <c r="B16" s="7"/>
      <c r="D16" t="s">
        <v>18</v>
      </c>
    </row>
    <row r="17" spans="2:4" x14ac:dyDescent="0.2">
      <c r="B17" s="7"/>
      <c r="D17" t="s">
        <v>4</v>
      </c>
    </row>
    <row r="18" spans="2:4" x14ac:dyDescent="0.2">
      <c r="B18" s="7"/>
      <c r="D18" t="s">
        <v>6</v>
      </c>
    </row>
    <row r="19" spans="2:4" x14ac:dyDescent="0.2">
      <c r="B19" s="7"/>
      <c r="D19" t="s">
        <v>19</v>
      </c>
    </row>
    <row r="20" spans="2:4" x14ac:dyDescent="0.2">
      <c r="B20" s="7"/>
      <c r="C20" t="s">
        <v>20</v>
      </c>
    </row>
    <row r="21" spans="2:4" x14ac:dyDescent="0.2">
      <c r="B21" s="7"/>
    </row>
    <row r="22" spans="2:4" x14ac:dyDescent="0.2">
      <c r="B22" s="172">
        <v>41177</v>
      </c>
      <c r="C22" s="39" t="s">
        <v>21</v>
      </c>
    </row>
    <row r="23" spans="2:4" x14ac:dyDescent="0.2">
      <c r="B23" s="7"/>
    </row>
    <row r="24" spans="2:4" x14ac:dyDescent="0.2">
      <c r="B24" s="172">
        <v>42857</v>
      </c>
      <c r="C24" s="39" t="s">
        <v>22</v>
      </c>
    </row>
    <row r="25" spans="2:4" x14ac:dyDescent="0.2">
      <c r="B25" s="7"/>
    </row>
    <row r="26" spans="2:4" x14ac:dyDescent="0.2">
      <c r="B26" s="172">
        <v>43530</v>
      </c>
      <c r="C26" s="39" t="s">
        <v>23</v>
      </c>
    </row>
    <row r="27" spans="2:4" x14ac:dyDescent="0.2">
      <c r="B27" s="7"/>
    </row>
    <row r="28" spans="2:4" x14ac:dyDescent="0.2">
      <c r="B28" s="172">
        <v>43660</v>
      </c>
      <c r="C28" s="39" t="s">
        <v>24</v>
      </c>
    </row>
    <row r="29" spans="2:4" x14ac:dyDescent="0.2">
      <c r="B29" s="7"/>
    </row>
    <row r="30" spans="2:4" x14ac:dyDescent="0.2">
      <c r="B30" s="172">
        <v>43714</v>
      </c>
      <c r="C30" s="39" t="s">
        <v>25</v>
      </c>
    </row>
    <row r="31" spans="2:4" x14ac:dyDescent="0.2">
      <c r="B31" s="172"/>
      <c r="C31" s="39"/>
      <c r="D31" s="39" t="s">
        <v>26</v>
      </c>
    </row>
    <row r="32" spans="2:4" x14ac:dyDescent="0.2">
      <c r="B32" s="172"/>
    </row>
    <row r="33" spans="2:9" x14ac:dyDescent="0.2">
      <c r="B33" s="172"/>
      <c r="D33" s="1" t="s">
        <v>27</v>
      </c>
    </row>
    <row r="34" spans="2:9" x14ac:dyDescent="0.2">
      <c r="B34" s="7"/>
      <c r="D34" s="148" t="s">
        <v>28</v>
      </c>
    </row>
    <row r="35" spans="2:9" x14ac:dyDescent="0.2">
      <c r="B35" s="7"/>
    </row>
    <row r="36" spans="2:9" x14ac:dyDescent="0.2">
      <c r="B36" s="7"/>
      <c r="D36" s="39" t="s">
        <v>29</v>
      </c>
    </row>
    <row r="37" spans="2:9" x14ac:dyDescent="0.2">
      <c r="B37" s="7"/>
      <c r="D37" s="148" t="s">
        <v>30</v>
      </c>
    </row>
    <row r="38" spans="2:9" x14ac:dyDescent="0.2">
      <c r="B38" s="7"/>
    </row>
    <row r="39" spans="2:9" x14ac:dyDescent="0.2">
      <c r="B39" s="7"/>
      <c r="D39" s="39" t="s">
        <v>31</v>
      </c>
    </row>
    <row r="40" spans="2:9" x14ac:dyDescent="0.2">
      <c r="B40" s="7"/>
      <c r="D40" s="148" t="s">
        <v>32</v>
      </c>
    </row>
    <row r="41" spans="2:9" x14ac:dyDescent="0.2">
      <c r="B41" s="7"/>
    </row>
    <row r="42" spans="2:9" x14ac:dyDescent="0.2">
      <c r="B42" s="7"/>
      <c r="D42" s="39" t="s">
        <v>33</v>
      </c>
    </row>
    <row r="43" spans="2:9" x14ac:dyDescent="0.2">
      <c r="B43" s="7"/>
      <c r="D43" s="148" t="s">
        <v>34</v>
      </c>
    </row>
    <row r="44" spans="2:9" x14ac:dyDescent="0.2">
      <c r="B44" s="7"/>
    </row>
    <row r="45" spans="2:9" x14ac:dyDescent="0.2">
      <c r="B45" s="7"/>
    </row>
    <row r="46" spans="2:9" x14ac:dyDescent="0.2">
      <c r="B46" s="7"/>
      <c r="G46" s="1" t="s">
        <v>35</v>
      </c>
    </row>
    <row r="47" spans="2:9" x14ac:dyDescent="0.2">
      <c r="B47" s="7"/>
      <c r="D47" s="1" t="s">
        <v>0</v>
      </c>
      <c r="E47" s="1" t="s">
        <v>36</v>
      </c>
      <c r="F47" s="1" t="s">
        <v>37</v>
      </c>
      <c r="G47" s="1" t="s">
        <v>38</v>
      </c>
      <c r="H47" s="1" t="s">
        <v>39</v>
      </c>
      <c r="I47" s="1" t="s">
        <v>40</v>
      </c>
    </row>
    <row r="48" spans="2:9" x14ac:dyDescent="0.2">
      <c r="B48" s="7"/>
      <c r="D48" s="149" t="s">
        <v>41</v>
      </c>
      <c r="E48" s="150" t="s">
        <v>42</v>
      </c>
      <c r="F48" s="151"/>
      <c r="G48" s="150" t="s">
        <v>42</v>
      </c>
      <c r="H48" s="150" t="s">
        <v>42</v>
      </c>
      <c r="I48" s="150" t="s">
        <v>42</v>
      </c>
    </row>
    <row r="49" spans="2:9" x14ac:dyDescent="0.2">
      <c r="B49" s="7"/>
      <c r="D49" s="149" t="s">
        <v>43</v>
      </c>
      <c r="E49" s="150" t="s">
        <v>42</v>
      </c>
      <c r="F49" s="151"/>
      <c r="G49" s="150" t="s">
        <v>42</v>
      </c>
      <c r="H49" s="150" t="s">
        <v>42</v>
      </c>
      <c r="I49" s="150" t="s">
        <v>42</v>
      </c>
    </row>
    <row r="50" spans="2:9" x14ac:dyDescent="0.2">
      <c r="B50" s="7"/>
      <c r="D50" s="149" t="s">
        <v>44</v>
      </c>
      <c r="E50" s="150" t="s">
        <v>42</v>
      </c>
      <c r="F50" s="151"/>
      <c r="G50" s="150" t="s">
        <v>42</v>
      </c>
      <c r="H50" s="150" t="s">
        <v>42</v>
      </c>
      <c r="I50" s="150" t="s">
        <v>42</v>
      </c>
    </row>
    <row r="51" spans="2:9" x14ac:dyDescent="0.2">
      <c r="B51" s="7"/>
      <c r="D51" s="149" t="s">
        <v>45</v>
      </c>
      <c r="E51" s="150" t="s">
        <v>42</v>
      </c>
      <c r="F51" s="151"/>
      <c r="G51" s="150" t="s">
        <v>42</v>
      </c>
      <c r="H51" s="150" t="s">
        <v>42</v>
      </c>
      <c r="I51" s="150" t="s">
        <v>42</v>
      </c>
    </row>
    <row r="52" spans="2:9" x14ac:dyDescent="0.2">
      <c r="B52" s="7"/>
      <c r="D52" s="149" t="s">
        <v>46</v>
      </c>
      <c r="E52" s="149" t="s">
        <v>47</v>
      </c>
      <c r="F52" s="152">
        <v>6.1</v>
      </c>
      <c r="G52" s="149" t="s">
        <v>48</v>
      </c>
      <c r="H52" s="16">
        <v>6.2</v>
      </c>
      <c r="I52" s="149">
        <v>138</v>
      </c>
    </row>
    <row r="53" spans="2:9" x14ac:dyDescent="0.2">
      <c r="B53" s="7"/>
      <c r="D53" s="149" t="s">
        <v>49</v>
      </c>
      <c r="E53" s="149" t="s">
        <v>47</v>
      </c>
      <c r="F53" s="153"/>
      <c r="G53" s="149" t="s">
        <v>48</v>
      </c>
      <c r="H53" s="16">
        <v>6.2</v>
      </c>
      <c r="I53" s="149">
        <v>138</v>
      </c>
    </row>
    <row r="54" spans="2:9" ht="15.75" x14ac:dyDescent="0.3">
      <c r="B54" s="7"/>
      <c r="D54" s="155" t="s">
        <v>50</v>
      </c>
      <c r="E54" s="155" t="s">
        <v>51</v>
      </c>
      <c r="F54" s="156">
        <v>6.2</v>
      </c>
      <c r="G54" s="155" t="s">
        <v>48</v>
      </c>
      <c r="H54" s="157">
        <v>6.1</v>
      </c>
      <c r="I54" s="6">
        <v>146</v>
      </c>
    </row>
    <row r="55" spans="2:9" ht="15.75" x14ac:dyDescent="0.3">
      <c r="B55" s="7"/>
      <c r="D55" s="5"/>
      <c r="E55" s="158" t="s">
        <v>52</v>
      </c>
      <c r="F55" s="159">
        <v>6.3</v>
      </c>
      <c r="G55" s="158" t="s">
        <v>48</v>
      </c>
      <c r="H55" s="160">
        <v>6.1</v>
      </c>
      <c r="I55" s="5">
        <v>146</v>
      </c>
    </row>
    <row r="56" spans="2:9" ht="15.75" x14ac:dyDescent="0.3">
      <c r="B56" s="7"/>
      <c r="D56" s="149" t="s">
        <v>53</v>
      </c>
      <c r="E56" s="149" t="s">
        <v>54</v>
      </c>
      <c r="F56" s="151" t="s">
        <v>42</v>
      </c>
      <c r="G56" s="149" t="s">
        <v>48</v>
      </c>
      <c r="H56" s="154">
        <v>6.1</v>
      </c>
      <c r="I56" s="16">
        <v>146</v>
      </c>
    </row>
    <row r="57" spans="2:9" ht="15.75" x14ac:dyDescent="0.3">
      <c r="B57" s="7"/>
      <c r="D57" s="155" t="s">
        <v>55</v>
      </c>
      <c r="E57" s="155" t="s">
        <v>51</v>
      </c>
      <c r="F57" s="156">
        <v>6.4</v>
      </c>
      <c r="G57" s="155" t="s">
        <v>48</v>
      </c>
      <c r="H57" s="157">
        <v>6.12</v>
      </c>
      <c r="I57" s="6">
        <v>148</v>
      </c>
    </row>
    <row r="58" spans="2:9" ht="15.75" x14ac:dyDescent="0.3">
      <c r="B58" s="7"/>
      <c r="D58" s="39"/>
      <c r="E58" s="39" t="s">
        <v>56</v>
      </c>
      <c r="F58" s="28">
        <v>6.5</v>
      </c>
      <c r="G58" s="39" t="s">
        <v>48</v>
      </c>
      <c r="H58" s="29">
        <v>6.12</v>
      </c>
      <c r="I58">
        <v>148</v>
      </c>
    </row>
    <row r="59" spans="2:9" ht="15.75" x14ac:dyDescent="0.3">
      <c r="B59" s="7"/>
      <c r="D59" s="158"/>
      <c r="E59" s="162" t="s">
        <v>57</v>
      </c>
      <c r="F59" s="161" t="s">
        <v>42</v>
      </c>
      <c r="G59" s="158" t="s">
        <v>48</v>
      </c>
      <c r="H59" s="160">
        <v>6.12</v>
      </c>
      <c r="I59" s="5">
        <v>148</v>
      </c>
    </row>
    <row r="60" spans="2:9" ht="15.75" x14ac:dyDescent="0.3">
      <c r="B60" s="7"/>
      <c r="D60" s="155" t="s">
        <v>58</v>
      </c>
      <c r="E60" s="155" t="s">
        <v>51</v>
      </c>
      <c r="F60" s="156">
        <v>6.2</v>
      </c>
      <c r="G60" s="155" t="s">
        <v>48</v>
      </c>
      <c r="H60" s="157">
        <v>6.1</v>
      </c>
      <c r="I60" s="6">
        <v>146</v>
      </c>
    </row>
    <row r="61" spans="2:9" ht="15.75" x14ac:dyDescent="0.3">
      <c r="B61" s="7"/>
      <c r="D61" s="39"/>
      <c r="E61" s="164" t="s">
        <v>59</v>
      </c>
      <c r="F61" s="7">
        <v>6.14</v>
      </c>
      <c r="G61" s="39" t="s">
        <v>48</v>
      </c>
      <c r="H61" s="29">
        <v>6.25</v>
      </c>
      <c r="I61">
        <v>161</v>
      </c>
    </row>
    <row r="62" spans="2:9" x14ac:dyDescent="0.2">
      <c r="B62" s="7"/>
      <c r="D62" s="158"/>
      <c r="E62" s="162" t="s">
        <v>60</v>
      </c>
      <c r="F62" s="4">
        <v>6.16</v>
      </c>
      <c r="G62" s="158" t="s">
        <v>48</v>
      </c>
      <c r="H62" s="160">
        <v>6.25</v>
      </c>
      <c r="I62" s="5">
        <v>161</v>
      </c>
    </row>
    <row r="63" spans="2:9" ht="15.75" x14ac:dyDescent="0.3">
      <c r="B63" s="7"/>
      <c r="D63" s="155" t="s">
        <v>61</v>
      </c>
      <c r="E63" s="155" t="s">
        <v>51</v>
      </c>
      <c r="F63" s="156">
        <v>6.4</v>
      </c>
      <c r="G63" s="155" t="s">
        <v>48</v>
      </c>
      <c r="H63" s="157">
        <v>6.12</v>
      </c>
      <c r="I63" s="6">
        <v>148</v>
      </c>
    </row>
    <row r="64" spans="2:9" ht="15.75" x14ac:dyDescent="0.3">
      <c r="B64" s="7"/>
      <c r="E64" s="164" t="s">
        <v>62</v>
      </c>
      <c r="F64" s="7">
        <v>6.14</v>
      </c>
      <c r="G64" s="39" t="s">
        <v>48</v>
      </c>
      <c r="H64" s="29">
        <v>6.25</v>
      </c>
      <c r="I64">
        <v>161</v>
      </c>
    </row>
    <row r="65" spans="2:9" x14ac:dyDescent="0.2">
      <c r="B65" s="7"/>
      <c r="D65" s="39"/>
      <c r="E65" s="163" t="s">
        <v>60</v>
      </c>
      <c r="F65" s="7">
        <v>6.16</v>
      </c>
      <c r="G65" s="39" t="s">
        <v>48</v>
      </c>
      <c r="H65" s="29">
        <v>6.25</v>
      </c>
      <c r="I65">
        <v>161</v>
      </c>
    </row>
    <row r="66" spans="2:9" ht="15.75" x14ac:dyDescent="0.3">
      <c r="B66" s="7"/>
      <c r="D66" s="39"/>
      <c r="E66" s="163" t="s">
        <v>63</v>
      </c>
      <c r="F66" s="165" t="s">
        <v>42</v>
      </c>
      <c r="G66" s="39" t="s">
        <v>48</v>
      </c>
      <c r="H66" s="29">
        <v>6.25</v>
      </c>
      <c r="I66">
        <v>161</v>
      </c>
    </row>
    <row r="67" spans="2:9" ht="15.75" x14ac:dyDescent="0.3">
      <c r="B67" s="7"/>
      <c r="D67" s="39"/>
      <c r="E67" s="163" t="s">
        <v>64</v>
      </c>
      <c r="F67" s="165" t="s">
        <v>42</v>
      </c>
      <c r="G67" s="39" t="s">
        <v>48</v>
      </c>
      <c r="H67" s="29">
        <v>6.25</v>
      </c>
      <c r="I67">
        <v>161</v>
      </c>
    </row>
    <row r="68" spans="2:9" ht="15.75" x14ac:dyDescent="0.3">
      <c r="B68" s="7"/>
      <c r="D68" s="158"/>
      <c r="E68" s="162" t="s">
        <v>57</v>
      </c>
      <c r="F68" s="161" t="s">
        <v>42</v>
      </c>
      <c r="G68" s="158" t="s">
        <v>48</v>
      </c>
      <c r="H68" s="160">
        <v>6.12</v>
      </c>
      <c r="I68" s="5">
        <v>148</v>
      </c>
    </row>
    <row r="69" spans="2:9" ht="15.75" x14ac:dyDescent="0.3">
      <c r="B69" s="7"/>
      <c r="D69" s="155" t="s">
        <v>65</v>
      </c>
      <c r="E69" s="155" t="s">
        <v>51</v>
      </c>
      <c r="F69" s="156">
        <v>6.2</v>
      </c>
      <c r="G69" s="155" t="s">
        <v>48</v>
      </c>
      <c r="H69" s="157">
        <v>6.1</v>
      </c>
      <c r="I69" s="6">
        <v>146</v>
      </c>
    </row>
    <row r="70" spans="2:9" ht="15.75" x14ac:dyDescent="0.3">
      <c r="B70" s="7"/>
      <c r="D70" s="39"/>
      <c r="E70" s="164" t="s">
        <v>66</v>
      </c>
      <c r="F70" s="7">
        <v>6.14</v>
      </c>
      <c r="G70" s="39" t="s">
        <v>48</v>
      </c>
      <c r="H70" s="29">
        <v>6.25</v>
      </c>
      <c r="I70">
        <v>161</v>
      </c>
    </row>
    <row r="71" spans="2:9" ht="15.75" x14ac:dyDescent="0.3">
      <c r="B71" s="7"/>
      <c r="D71" s="39"/>
      <c r="E71" s="163" t="s">
        <v>67</v>
      </c>
      <c r="F71" s="165" t="s">
        <v>42</v>
      </c>
      <c r="G71" s="39" t="s">
        <v>48</v>
      </c>
      <c r="H71" s="29">
        <v>6.25</v>
      </c>
      <c r="I71">
        <v>161</v>
      </c>
    </row>
    <row r="72" spans="2:9" ht="15.75" x14ac:dyDescent="0.3">
      <c r="B72" s="7"/>
      <c r="D72" s="39"/>
      <c r="E72" s="163" t="s">
        <v>68</v>
      </c>
      <c r="F72" s="7">
        <v>6.15</v>
      </c>
      <c r="G72" s="39" t="s">
        <v>48</v>
      </c>
      <c r="H72" s="29">
        <v>6.25</v>
      </c>
      <c r="I72">
        <v>161</v>
      </c>
    </row>
    <row r="73" spans="2:9" x14ac:dyDescent="0.2">
      <c r="B73" s="7"/>
      <c r="D73" s="158"/>
      <c r="E73" s="162" t="s">
        <v>60</v>
      </c>
      <c r="F73" s="4">
        <v>6.16</v>
      </c>
      <c r="G73" s="158" t="s">
        <v>48</v>
      </c>
      <c r="H73" s="160">
        <v>6.25</v>
      </c>
      <c r="I73" s="5">
        <v>161</v>
      </c>
    </row>
    <row r="74" spans="2:9" ht="15.75" x14ac:dyDescent="0.3">
      <c r="B74" s="7"/>
      <c r="D74" s="155" t="s">
        <v>69</v>
      </c>
      <c r="E74" s="167" t="s">
        <v>70</v>
      </c>
      <c r="F74" s="168">
        <v>8.1</v>
      </c>
      <c r="G74" s="155" t="s">
        <v>48</v>
      </c>
      <c r="H74" s="169">
        <v>8.6999999999999993</v>
      </c>
      <c r="I74" s="6">
        <v>221</v>
      </c>
    </row>
    <row r="75" spans="2:9" ht="15.75" x14ac:dyDescent="0.3">
      <c r="B75" s="7"/>
      <c r="D75" s="158"/>
      <c r="E75" s="162" t="s">
        <v>71</v>
      </c>
      <c r="F75" s="161" t="s">
        <v>42</v>
      </c>
      <c r="G75" s="158" t="s">
        <v>48</v>
      </c>
      <c r="H75" s="166">
        <v>8.6999999999999993</v>
      </c>
      <c r="I75" s="5">
        <v>221</v>
      </c>
    </row>
    <row r="76" spans="2:9" ht="15.75" x14ac:dyDescent="0.3">
      <c r="B76" s="7"/>
      <c r="D76" s="155" t="s">
        <v>72</v>
      </c>
      <c r="E76" s="167" t="s">
        <v>70</v>
      </c>
      <c r="F76" s="168">
        <v>8.1999999999999993</v>
      </c>
      <c r="G76" s="155" t="s">
        <v>48</v>
      </c>
      <c r="H76" s="169">
        <v>8.6999999999999993</v>
      </c>
      <c r="I76" s="6">
        <v>221</v>
      </c>
    </row>
    <row r="77" spans="2:9" ht="15.75" x14ac:dyDescent="0.3">
      <c r="B77" s="7"/>
      <c r="D77" s="5"/>
      <c r="E77" s="162" t="s">
        <v>71</v>
      </c>
      <c r="F77" s="161" t="s">
        <v>42</v>
      </c>
      <c r="G77" s="158" t="s">
        <v>48</v>
      </c>
      <c r="H77" s="166">
        <v>8.6999999999999993</v>
      </c>
      <c r="I77" s="5">
        <v>221</v>
      </c>
    </row>
    <row r="78" spans="2:9" ht="15.75" x14ac:dyDescent="0.3">
      <c r="B78" s="7"/>
      <c r="D78" s="149" t="s">
        <v>73</v>
      </c>
      <c r="E78" s="149" t="s">
        <v>74</v>
      </c>
      <c r="F78" s="153">
        <v>8.3000000000000007</v>
      </c>
      <c r="G78" s="158" t="s">
        <v>48</v>
      </c>
      <c r="H78" s="16">
        <v>8.8000000000000007</v>
      </c>
      <c r="I78" s="16">
        <v>222</v>
      </c>
    </row>
    <row r="79" spans="2:9" ht="15.75" x14ac:dyDescent="0.3">
      <c r="B79" s="7"/>
      <c r="D79" s="149"/>
      <c r="E79" s="149" t="s">
        <v>70</v>
      </c>
      <c r="F79" s="153">
        <v>8.4</v>
      </c>
      <c r="G79" s="158" t="s">
        <v>48</v>
      </c>
      <c r="H79" s="16">
        <v>8.8000000000000007</v>
      </c>
      <c r="I79" s="16">
        <v>222</v>
      </c>
    </row>
    <row r="80" spans="2:9" ht="15.75" x14ac:dyDescent="0.3">
      <c r="B80" s="7"/>
      <c r="D80" s="149"/>
      <c r="E80" s="149" t="s">
        <v>75</v>
      </c>
      <c r="F80" s="153">
        <v>8.5</v>
      </c>
      <c r="G80" s="158" t="s">
        <v>48</v>
      </c>
      <c r="H80" s="29">
        <v>8.1</v>
      </c>
      <c r="I80" s="16">
        <v>224</v>
      </c>
    </row>
    <row r="81" spans="2:9" ht="15.75" x14ac:dyDescent="0.3">
      <c r="B81" s="7"/>
      <c r="D81" s="149" t="s">
        <v>76</v>
      </c>
      <c r="E81" s="149" t="s">
        <v>74</v>
      </c>
      <c r="F81" s="153">
        <v>8.3000000000000007</v>
      </c>
      <c r="G81" s="158" t="s">
        <v>48</v>
      </c>
      <c r="H81" s="16">
        <v>8.8000000000000007</v>
      </c>
      <c r="I81" s="16">
        <v>222</v>
      </c>
    </row>
    <row r="82" spans="2:9" ht="15.75" x14ac:dyDescent="0.3">
      <c r="B82" s="7"/>
      <c r="D82" s="149"/>
      <c r="E82" s="149" t="s">
        <v>70</v>
      </c>
      <c r="F82" s="153">
        <v>8.4</v>
      </c>
      <c r="G82" s="158" t="s">
        <v>48</v>
      </c>
      <c r="H82" s="16">
        <v>8.8000000000000007</v>
      </c>
      <c r="I82" s="16">
        <v>222</v>
      </c>
    </row>
    <row r="83" spans="2:9" ht="15.75" x14ac:dyDescent="0.3">
      <c r="B83" s="7"/>
      <c r="D83" s="149"/>
      <c r="E83" s="149" t="s">
        <v>77</v>
      </c>
      <c r="F83" s="153">
        <v>8.6</v>
      </c>
      <c r="G83" s="158" t="s">
        <v>48</v>
      </c>
      <c r="H83" s="16">
        <v>8.1199999999999992</v>
      </c>
      <c r="I83" s="16">
        <v>227</v>
      </c>
    </row>
    <row r="84" spans="2:9" x14ac:dyDescent="0.2">
      <c r="B84" s="7"/>
      <c r="D84" s="149"/>
      <c r="E84" s="16"/>
      <c r="F84" s="153"/>
      <c r="G84" s="16"/>
      <c r="H84" s="16"/>
      <c r="I84" s="16"/>
    </row>
    <row r="85" spans="2:9" x14ac:dyDescent="0.2">
      <c r="B85" s="7"/>
      <c r="D85" s="149" t="s">
        <v>78</v>
      </c>
      <c r="E85" s="170"/>
      <c r="F85" s="171"/>
      <c r="G85" s="170"/>
      <c r="H85" s="170"/>
      <c r="I85" s="170"/>
    </row>
    <row r="86" spans="2:9" x14ac:dyDescent="0.2">
      <c r="B86" s="7"/>
      <c r="D86" s="149" t="s">
        <v>79</v>
      </c>
      <c r="E86" s="170"/>
      <c r="F86" s="171"/>
      <c r="G86" s="170"/>
      <c r="H86" s="170"/>
      <c r="I86" s="170"/>
    </row>
    <row r="87" spans="2:9" x14ac:dyDescent="0.2">
      <c r="B87" s="7"/>
      <c r="D87" s="149" t="s">
        <v>80</v>
      </c>
      <c r="E87" s="170"/>
      <c r="F87" s="171"/>
      <c r="G87" s="170"/>
      <c r="H87" s="170"/>
      <c r="I87" s="170"/>
    </row>
    <row r="88" spans="2:9" x14ac:dyDescent="0.2">
      <c r="B88" s="7"/>
      <c r="D88" s="149" t="s">
        <v>81</v>
      </c>
      <c r="E88" s="170"/>
      <c r="F88" s="171"/>
      <c r="G88" s="170"/>
      <c r="H88" s="170"/>
      <c r="I88" s="170"/>
    </row>
    <row r="89" spans="2:9" x14ac:dyDescent="0.2">
      <c r="B89" s="7"/>
      <c r="D89" s="149" t="s">
        <v>82</v>
      </c>
      <c r="E89" s="170"/>
      <c r="F89" s="171"/>
      <c r="G89" s="170"/>
      <c r="H89" s="170"/>
      <c r="I89" s="170"/>
    </row>
    <row r="90" spans="2:9" x14ac:dyDescent="0.2">
      <c r="B90" s="7"/>
    </row>
    <row r="91" spans="2:9" x14ac:dyDescent="0.2">
      <c r="B91" s="7"/>
    </row>
    <row r="92" spans="2:9" x14ac:dyDescent="0.2">
      <c r="B92" s="7"/>
      <c r="D92" s="39" t="s">
        <v>83</v>
      </c>
    </row>
    <row r="93" spans="2:9" x14ac:dyDescent="0.2">
      <c r="B93" s="7"/>
    </row>
    <row r="94" spans="2:9" x14ac:dyDescent="0.2">
      <c r="B94" s="7"/>
    </row>
    <row r="95" spans="2:9" x14ac:dyDescent="0.2">
      <c r="B95" s="7"/>
    </row>
    <row r="96" spans="2:9" x14ac:dyDescent="0.2">
      <c r="B96" s="7"/>
    </row>
    <row r="97" spans="2:2" x14ac:dyDescent="0.2">
      <c r="B97" s="7"/>
    </row>
  </sheetData>
  <phoneticPr fontId="17" type="noConversion"/>
  <hyperlinks>
    <hyperlink ref="D34" r:id="rId1" xr:uid="{00000000-0004-0000-0000-000000000000}"/>
    <hyperlink ref="D37" r:id="rId2" xr:uid="{00000000-0004-0000-0000-000001000000}"/>
    <hyperlink ref="D40" r:id="rId3" xr:uid="{00000000-0004-0000-0000-000002000000}"/>
    <hyperlink ref="D43" r:id="rId4" xr:uid="{00000000-0004-0000-0000-000003000000}"/>
  </hyperlinks>
  <pageMargins left="0.75" right="0.75" top="1" bottom="1" header="0.5" footer="0.5"/>
  <pageSetup orientation="portrait" r:id="rId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sheetPr>
  <dimension ref="A1:Q56"/>
  <sheetViews>
    <sheetView view="pageBreakPreview" topLeftCell="A25" zoomScaleNormal="115" zoomScaleSheetLayoutView="100" workbookViewId="0">
      <selection activeCell="L6" sqref="L6"/>
    </sheetView>
  </sheetViews>
  <sheetFormatPr defaultRowHeight="12.75" x14ac:dyDescent="0.2"/>
  <cols>
    <col min="1" max="1" width="12.7109375" customWidth="1"/>
    <col min="2" max="9" width="9.28515625" customWidth="1"/>
    <col min="10" max="10" width="9.85546875" bestFit="1" customWidth="1"/>
    <col min="11" max="11" width="32.42578125" bestFit="1" customWidth="1"/>
    <col min="12" max="14" width="12.85546875" customWidth="1"/>
  </cols>
  <sheetData>
    <row r="1" spans="1:10" x14ac:dyDescent="0.2">
      <c r="C1" s="75" t="s">
        <v>129</v>
      </c>
      <c r="D1" s="76" t="e">
        <f>Project</f>
        <v>#REF!</v>
      </c>
      <c r="E1" s="5"/>
      <c r="F1" s="5"/>
      <c r="G1" s="75" t="s">
        <v>131</v>
      </c>
      <c r="H1" s="131" t="e">
        <f>ComputedBY</f>
        <v>#REF!</v>
      </c>
      <c r="I1" s="75" t="s">
        <v>133</v>
      </c>
      <c r="J1" s="133" t="e">
        <f>ComputedDate</f>
        <v>#REF!</v>
      </c>
    </row>
    <row r="2" spans="1:10" x14ac:dyDescent="0.2">
      <c r="C2" s="77" t="s">
        <v>134</v>
      </c>
      <c r="D2" s="78" t="s">
        <v>135</v>
      </c>
      <c r="E2" s="16"/>
      <c r="F2" s="16"/>
      <c r="G2" s="77" t="s">
        <v>136</v>
      </c>
      <c r="H2" s="132" t="e">
        <f>Checker</f>
        <v>#REF!</v>
      </c>
      <c r="I2" s="77" t="s">
        <v>133</v>
      </c>
      <c r="J2" s="134" t="e">
        <f>CheckerDate</f>
        <v>#REF!</v>
      </c>
    </row>
    <row r="3" spans="1:10" x14ac:dyDescent="0.2">
      <c r="C3" s="77" t="s">
        <v>137</v>
      </c>
      <c r="D3" s="78" t="s">
        <v>108</v>
      </c>
      <c r="E3" s="16"/>
      <c r="F3" s="16"/>
      <c r="G3" s="77" t="s">
        <v>139</v>
      </c>
      <c r="H3" s="132">
        <v>1</v>
      </c>
      <c r="I3" s="77" t="s">
        <v>140</v>
      </c>
      <c r="J3" s="132">
        <v>1</v>
      </c>
    </row>
    <row r="4" spans="1:10" x14ac:dyDescent="0.2">
      <c r="C4" s="77" t="s">
        <v>142</v>
      </c>
      <c r="D4" s="135"/>
      <c r="E4" s="16"/>
      <c r="F4" s="16"/>
      <c r="G4" s="77" t="s">
        <v>143</v>
      </c>
      <c r="H4" s="136"/>
      <c r="I4" s="79"/>
      <c r="J4" s="132"/>
    </row>
    <row r="6" spans="1:10" ht="18" x14ac:dyDescent="0.25">
      <c r="A6" s="10" t="s">
        <v>147</v>
      </c>
    </row>
    <row r="7" spans="1:10" ht="18" x14ac:dyDescent="0.25">
      <c r="A7" s="10" t="s">
        <v>148</v>
      </c>
    </row>
    <row r="8" spans="1:10" x14ac:dyDescent="0.2">
      <c r="B8" t="s">
        <v>301</v>
      </c>
    </row>
    <row r="9" spans="1:10" x14ac:dyDescent="0.2">
      <c r="A9" s="9" t="s">
        <v>175</v>
      </c>
      <c r="B9" s="11" t="s">
        <v>302</v>
      </c>
    </row>
    <row r="10" spans="1:10" x14ac:dyDescent="0.2">
      <c r="A10" s="60"/>
    </row>
    <row r="11" spans="1:10" x14ac:dyDescent="0.2">
      <c r="A11" s="1" t="s">
        <v>381</v>
      </c>
    </row>
    <row r="13" spans="1:10" ht="15.75" x14ac:dyDescent="0.3">
      <c r="A13" s="175" t="s">
        <v>382</v>
      </c>
      <c r="B13" s="39" t="s">
        <v>184</v>
      </c>
      <c r="C13" s="39" t="s">
        <v>383</v>
      </c>
    </row>
    <row r="14" spans="1:10" ht="15.75" x14ac:dyDescent="0.3">
      <c r="A14" s="175" t="s">
        <v>384</v>
      </c>
      <c r="B14" s="39" t="s">
        <v>184</v>
      </c>
      <c r="C14" s="39" t="s">
        <v>385</v>
      </c>
    </row>
    <row r="15" spans="1:10" ht="15.75" x14ac:dyDescent="0.3">
      <c r="A15" s="183" t="s">
        <v>386</v>
      </c>
      <c r="C15" s="39" t="s">
        <v>387</v>
      </c>
    </row>
    <row r="16" spans="1:10" ht="15.75" x14ac:dyDescent="0.3">
      <c r="A16" s="139" t="s">
        <v>220</v>
      </c>
      <c r="B16" s="39" t="s">
        <v>184</v>
      </c>
      <c r="C16" s="39" t="s">
        <v>388</v>
      </c>
    </row>
    <row r="17" spans="1:17" ht="15.75" x14ac:dyDescent="0.3">
      <c r="A17" s="183" t="s">
        <v>225</v>
      </c>
      <c r="B17" s="39" t="s">
        <v>184</v>
      </c>
      <c r="C17" s="39" t="s">
        <v>389</v>
      </c>
    </row>
    <row r="18" spans="1:17" x14ac:dyDescent="0.2">
      <c r="K18" s="197" t="s">
        <v>374</v>
      </c>
      <c r="Q18" s="197" t="s">
        <v>374</v>
      </c>
    </row>
    <row r="19" spans="1:17" ht="15.75" x14ac:dyDescent="0.3">
      <c r="A19" s="164" t="s">
        <v>390</v>
      </c>
      <c r="D19" s="39" t="s">
        <v>391</v>
      </c>
    </row>
    <row r="20" spans="1:17" ht="15.75" x14ac:dyDescent="0.3">
      <c r="A20" s="164" t="s">
        <v>392</v>
      </c>
      <c r="D20" s="39" t="s">
        <v>393</v>
      </c>
    </row>
    <row r="22" spans="1:17" x14ac:dyDescent="0.2">
      <c r="A22" s="62" t="s">
        <v>394</v>
      </c>
      <c r="D22" s="39" t="s">
        <v>395</v>
      </c>
    </row>
    <row r="23" spans="1:17" ht="15.75" x14ac:dyDescent="0.3">
      <c r="A23" s="39" t="s">
        <v>396</v>
      </c>
      <c r="D23" s="39" t="s">
        <v>397</v>
      </c>
    </row>
    <row r="25" spans="1:17" ht="15.75" x14ac:dyDescent="0.3">
      <c r="A25" s="183" t="s">
        <v>216</v>
      </c>
      <c r="B25" s="39" t="s">
        <v>184</v>
      </c>
      <c r="C25" s="39" t="s">
        <v>398</v>
      </c>
    </row>
    <row r="26" spans="1:17" ht="15.75" x14ac:dyDescent="0.3">
      <c r="A26" s="183" t="s">
        <v>399</v>
      </c>
      <c r="B26" s="39" t="s">
        <v>400</v>
      </c>
      <c r="C26" s="39" t="s">
        <v>401</v>
      </c>
    </row>
    <row r="27" spans="1:17" ht="15.75" x14ac:dyDescent="0.3">
      <c r="A27" s="183" t="s">
        <v>402</v>
      </c>
      <c r="B27" s="39" t="s">
        <v>400</v>
      </c>
      <c r="C27" s="39" t="s">
        <v>403</v>
      </c>
    </row>
    <row r="28" spans="1:17" x14ac:dyDescent="0.2">
      <c r="A28" s="14"/>
    </row>
    <row r="30" spans="1:17" ht="18" x14ac:dyDescent="0.25">
      <c r="A30" s="10" t="s">
        <v>147</v>
      </c>
    </row>
    <row r="31" spans="1:17" s="15" customFormat="1" x14ac:dyDescent="0.2">
      <c r="A31" s="39"/>
      <c r="B31" s="39"/>
      <c r="C31" s="39"/>
      <c r="D31" s="39"/>
      <c r="E31" s="39"/>
      <c r="F31" s="39"/>
      <c r="G31" s="39"/>
      <c r="H31" s="39"/>
      <c r="I31" s="39"/>
    </row>
    <row r="32" spans="1:17" x14ac:dyDescent="0.2">
      <c r="A32" s="1" t="s">
        <v>193</v>
      </c>
      <c r="B32" s="86" t="e">
        <f>River</f>
        <v>#REF!</v>
      </c>
      <c r="C32" s="5"/>
      <c r="D32" s="5"/>
      <c r="E32" s="5"/>
      <c r="F32" s="5"/>
      <c r="I32" s="7"/>
    </row>
    <row r="33" spans="1:15" x14ac:dyDescent="0.2">
      <c r="A33" s="1" t="s">
        <v>334</v>
      </c>
      <c r="B33" s="88" t="e">
        <f>Profile</f>
        <v>#REF!</v>
      </c>
      <c r="C33" s="16"/>
      <c r="D33" s="16"/>
      <c r="E33" s="16"/>
      <c r="F33" s="16"/>
      <c r="I33" s="7"/>
      <c r="L33" s="109"/>
      <c r="M33" s="109"/>
      <c r="N33" s="109"/>
      <c r="O33" s="109"/>
    </row>
    <row r="34" spans="1:15" x14ac:dyDescent="0.2">
      <c r="A34" s="1" t="s">
        <v>237</v>
      </c>
      <c r="B34" s="86" t="s">
        <v>336</v>
      </c>
      <c r="C34" s="5"/>
      <c r="D34" s="5"/>
      <c r="E34" s="5"/>
      <c r="F34" s="5"/>
      <c r="I34" s="7"/>
      <c r="L34" s="109"/>
      <c r="M34" s="109"/>
      <c r="N34" s="109"/>
      <c r="O34" s="109"/>
    </row>
    <row r="35" spans="1:15" x14ac:dyDescent="0.2">
      <c r="I35" s="7"/>
      <c r="K35" s="7"/>
      <c r="L35" s="109"/>
      <c r="M35" s="109"/>
      <c r="N35" s="109"/>
      <c r="O35" s="109"/>
    </row>
    <row r="36" spans="1:15" x14ac:dyDescent="0.2">
      <c r="A36" s="1" t="s">
        <v>404</v>
      </c>
      <c r="B36" s="70" t="s">
        <v>103</v>
      </c>
      <c r="C36" s="5"/>
      <c r="D36" s="5"/>
      <c r="I36" s="7"/>
    </row>
    <row r="37" spans="1:15" x14ac:dyDescent="0.2">
      <c r="A37" s="1" t="s">
        <v>347</v>
      </c>
      <c r="B37" s="91" t="s">
        <v>405</v>
      </c>
      <c r="C37" s="5"/>
      <c r="D37" s="5"/>
      <c r="I37" s="7"/>
    </row>
    <row r="38" spans="1:15" x14ac:dyDescent="0.2">
      <c r="A38" s="1" t="s">
        <v>218</v>
      </c>
      <c r="B38" s="92" t="e">
        <f>Flows</f>
        <v>#REF!</v>
      </c>
      <c r="C38" s="16"/>
      <c r="D38" s="16"/>
      <c r="I38" s="7"/>
    </row>
    <row r="39" spans="1:15" x14ac:dyDescent="0.2">
      <c r="A39" s="1" t="s">
        <v>197</v>
      </c>
      <c r="B39" s="92" t="e">
        <f>Profile</f>
        <v>#REF!</v>
      </c>
      <c r="C39" s="16"/>
      <c r="D39" s="16"/>
      <c r="I39" s="7"/>
    </row>
    <row r="40" spans="1:15" x14ac:dyDescent="0.2">
      <c r="A40" s="17"/>
      <c r="B40" s="18"/>
      <c r="C40" s="18"/>
      <c r="D40" s="18"/>
      <c r="I40" s="7"/>
    </row>
    <row r="41" spans="1:15" x14ac:dyDescent="0.2">
      <c r="B41" s="240" t="s">
        <v>406</v>
      </c>
      <c r="C41" s="240"/>
      <c r="D41" s="240" t="s">
        <v>407</v>
      </c>
      <c r="E41" s="240"/>
      <c r="I41" s="7"/>
    </row>
    <row r="42" spans="1:15" x14ac:dyDescent="0.2">
      <c r="B42" s="19" t="s">
        <v>349</v>
      </c>
      <c r="C42" s="19" t="s">
        <v>350</v>
      </c>
      <c r="D42" s="19" t="s">
        <v>349</v>
      </c>
      <c r="E42" s="19" t="s">
        <v>350</v>
      </c>
      <c r="G42" s="9" t="s">
        <v>201</v>
      </c>
    </row>
    <row r="43" spans="1:15" ht="15.75" x14ac:dyDescent="0.3">
      <c r="A43" s="183" t="s">
        <v>216</v>
      </c>
      <c r="B43" s="97"/>
      <c r="C43" s="97"/>
      <c r="D43" s="97"/>
      <c r="E43" s="97"/>
      <c r="F43" s="39" t="s">
        <v>184</v>
      </c>
      <c r="G43" s="9"/>
    </row>
    <row r="44" spans="1:15" ht="15.75" x14ac:dyDescent="0.3">
      <c r="A44" s="183" t="s">
        <v>399</v>
      </c>
      <c r="B44" s="97"/>
      <c r="C44" s="97"/>
      <c r="D44" s="97"/>
      <c r="E44" s="97"/>
      <c r="F44" s="39" t="s">
        <v>400</v>
      </c>
      <c r="G44" s="9"/>
    </row>
    <row r="45" spans="1:15" ht="15.75" x14ac:dyDescent="0.3">
      <c r="A45" s="183" t="s">
        <v>402</v>
      </c>
      <c r="B45" s="97"/>
      <c r="C45" s="97"/>
      <c r="D45" s="97"/>
      <c r="E45" s="97"/>
      <c r="F45" s="39" t="s">
        <v>400</v>
      </c>
      <c r="G45" s="9"/>
    </row>
    <row r="46" spans="1:15" x14ac:dyDescent="0.2">
      <c r="B46" s="19"/>
      <c r="C46" s="19"/>
      <c r="D46" s="18"/>
      <c r="G46" s="9"/>
    </row>
    <row r="47" spans="1:15" ht="16.5" thickBot="1" x14ac:dyDescent="0.35">
      <c r="A47" s="185" t="s">
        <v>384</v>
      </c>
      <c r="B47" s="186" t="e">
        <f>B43*(B44/B45)^(6/7)</f>
        <v>#DIV/0!</v>
      </c>
      <c r="C47" s="186" t="e">
        <f>C43*(C44/C45)^(6/7)</f>
        <v>#DIV/0!</v>
      </c>
      <c r="D47" s="186" t="e">
        <f>D43*(D44/D45)^(6/7)</f>
        <v>#DIV/0!</v>
      </c>
      <c r="E47" s="186" t="e">
        <f>E43*(E44/E45)^(6/7)</f>
        <v>#DIV/0!</v>
      </c>
      <c r="F47" t="s">
        <v>184</v>
      </c>
      <c r="G47" s="9"/>
    </row>
    <row r="48" spans="1:15" x14ac:dyDescent="0.2">
      <c r="B48" s="19"/>
      <c r="C48" s="19"/>
      <c r="D48" s="18"/>
    </row>
    <row r="49" spans="1:9" ht="15.75" x14ac:dyDescent="0.3">
      <c r="A49" s="183" t="s">
        <v>386</v>
      </c>
      <c r="B49" s="97">
        <v>1</v>
      </c>
      <c r="C49" s="97">
        <v>1</v>
      </c>
      <c r="D49" s="97">
        <v>1</v>
      </c>
      <c r="E49" s="97">
        <v>1</v>
      </c>
      <c r="G49" t="s">
        <v>408</v>
      </c>
    </row>
    <row r="50" spans="1:9" ht="15.75" x14ac:dyDescent="0.3">
      <c r="A50" s="187" t="s">
        <v>225</v>
      </c>
      <c r="B50" s="147"/>
      <c r="C50" s="147"/>
      <c r="D50" s="147"/>
      <c r="E50" s="147"/>
      <c r="F50" s="39" t="s">
        <v>184</v>
      </c>
    </row>
    <row r="51" spans="1:9" x14ac:dyDescent="0.2">
      <c r="B51" s="18"/>
      <c r="C51" s="18" t="s">
        <v>409</v>
      </c>
      <c r="D51" s="18"/>
    </row>
    <row r="52" spans="1:9" x14ac:dyDescent="0.2">
      <c r="I52" s="7"/>
    </row>
    <row r="53" spans="1:9" ht="16.5" thickBot="1" x14ac:dyDescent="0.35">
      <c r="A53" s="185" t="s">
        <v>382</v>
      </c>
      <c r="B53" s="186" t="e">
        <f>B49*B47</f>
        <v>#DIV/0!</v>
      </c>
      <c r="C53" s="186" t="e">
        <f>C49*C47</f>
        <v>#DIV/0!</v>
      </c>
      <c r="D53" s="186" t="e">
        <f>D49*D47</f>
        <v>#DIV/0!</v>
      </c>
      <c r="E53" s="186" t="e">
        <f>E49*E47</f>
        <v>#DIV/0!</v>
      </c>
      <c r="F53" s="8" t="s">
        <v>184</v>
      </c>
      <c r="I53" s="7"/>
    </row>
    <row r="54" spans="1:9" ht="16.5" thickBot="1" x14ac:dyDescent="0.35">
      <c r="A54" s="13" t="s">
        <v>220</v>
      </c>
      <c r="B54" s="25" t="e">
        <f>B53-B50</f>
        <v>#DIV/0!</v>
      </c>
      <c r="C54" s="25" t="e">
        <f>C53-C50</f>
        <v>#DIV/0!</v>
      </c>
      <c r="D54" s="25" t="e">
        <f>D53-D50</f>
        <v>#DIV/0!</v>
      </c>
      <c r="E54" s="25" t="e">
        <f>E53-E50</f>
        <v>#DIV/0!</v>
      </c>
      <c r="F54" s="8" t="s">
        <v>184</v>
      </c>
      <c r="H54" s="39" t="s">
        <v>410</v>
      </c>
      <c r="I54" s="7"/>
    </row>
    <row r="55" spans="1:9" x14ac:dyDescent="0.2">
      <c r="H55" s="39" t="s">
        <v>411</v>
      </c>
    </row>
    <row r="56" spans="1:9" x14ac:dyDescent="0.2">
      <c r="H56" s="39" t="s">
        <v>412</v>
      </c>
      <c r="I56" s="7"/>
    </row>
  </sheetData>
  <mergeCells count="2">
    <mergeCell ref="B41:C41"/>
    <mergeCell ref="D41:E41"/>
  </mergeCells>
  <pageMargins left="1" right="1" top="1" bottom="1" header="0.5" footer="0.5"/>
  <pageSetup scale="61" orientation="portrait" r:id="rId1"/>
  <headerFooter alignWithMargins="0">
    <oddFooter>&amp;R&amp;F
&amp;A
&amp;D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sheetPr>
  <dimension ref="A1:P60"/>
  <sheetViews>
    <sheetView view="pageBreakPreview" zoomScaleNormal="85" zoomScaleSheetLayoutView="100" workbookViewId="0">
      <selection activeCell="L6" sqref="L6"/>
    </sheetView>
  </sheetViews>
  <sheetFormatPr defaultRowHeight="12.75" x14ac:dyDescent="0.2"/>
  <cols>
    <col min="1" max="1" width="12.7109375" customWidth="1"/>
    <col min="2" max="9" width="9.28515625" customWidth="1"/>
    <col min="10" max="11" width="9.85546875" customWidth="1"/>
    <col min="12" max="14" width="12.85546875" customWidth="1"/>
  </cols>
  <sheetData>
    <row r="1" spans="1:10" x14ac:dyDescent="0.2">
      <c r="C1" s="75" t="s">
        <v>129</v>
      </c>
      <c r="D1" s="76" t="e">
        <f>Project</f>
        <v>#REF!</v>
      </c>
      <c r="E1" s="5"/>
      <c r="F1" s="5"/>
      <c r="G1" s="75" t="s">
        <v>131</v>
      </c>
      <c r="H1" s="131" t="e">
        <f>ComputedBY</f>
        <v>#REF!</v>
      </c>
      <c r="I1" s="75" t="s">
        <v>133</v>
      </c>
      <c r="J1" s="133" t="e">
        <f>ComputedDate</f>
        <v>#REF!</v>
      </c>
    </row>
    <row r="2" spans="1:10" x14ac:dyDescent="0.2">
      <c r="C2" s="77" t="s">
        <v>134</v>
      </c>
      <c r="D2" s="78" t="s">
        <v>135</v>
      </c>
      <c r="E2" s="16"/>
      <c r="F2" s="16"/>
      <c r="G2" s="77" t="s">
        <v>136</v>
      </c>
      <c r="H2" s="132" t="e">
        <f>Checker</f>
        <v>#REF!</v>
      </c>
      <c r="I2" s="77" t="s">
        <v>133</v>
      </c>
      <c r="J2" s="134" t="e">
        <f>CheckerDate</f>
        <v>#REF!</v>
      </c>
    </row>
    <row r="3" spans="1:10" x14ac:dyDescent="0.2">
      <c r="C3" s="77" t="s">
        <v>137</v>
      </c>
      <c r="D3" s="78" t="s">
        <v>108</v>
      </c>
      <c r="E3" s="16"/>
      <c r="F3" s="16"/>
      <c r="G3" s="77" t="s">
        <v>139</v>
      </c>
      <c r="H3" s="132">
        <v>1</v>
      </c>
      <c r="I3" s="77" t="s">
        <v>140</v>
      </c>
      <c r="J3" s="132">
        <v>1</v>
      </c>
    </row>
    <row r="4" spans="1:10" x14ac:dyDescent="0.2">
      <c r="C4" s="77" t="s">
        <v>142</v>
      </c>
      <c r="D4" s="135"/>
      <c r="E4" s="16"/>
      <c r="F4" s="16"/>
      <c r="G4" s="77" t="s">
        <v>143</v>
      </c>
      <c r="H4" s="136"/>
      <c r="I4" s="79"/>
      <c r="J4" s="132"/>
    </row>
    <row r="6" spans="1:10" ht="18" x14ac:dyDescent="0.25">
      <c r="A6" s="10" t="s">
        <v>147</v>
      </c>
    </row>
    <row r="7" spans="1:10" ht="18" x14ac:dyDescent="0.25">
      <c r="A7" s="10" t="s">
        <v>148</v>
      </c>
    </row>
    <row r="8" spans="1:10" x14ac:dyDescent="0.2">
      <c r="B8" t="s">
        <v>301</v>
      </c>
    </row>
    <row r="9" spans="1:10" x14ac:dyDescent="0.2">
      <c r="A9" s="9" t="s">
        <v>175</v>
      </c>
      <c r="B9" s="11" t="s">
        <v>302</v>
      </c>
    </row>
    <row r="10" spans="1:10" x14ac:dyDescent="0.2">
      <c r="A10" s="60"/>
    </row>
    <row r="11" spans="1:10" x14ac:dyDescent="0.2">
      <c r="A11" s="1" t="s">
        <v>381</v>
      </c>
    </row>
    <row r="13" spans="1:10" ht="15.75" x14ac:dyDescent="0.3">
      <c r="A13" s="175" t="s">
        <v>382</v>
      </c>
      <c r="B13" s="39" t="s">
        <v>184</v>
      </c>
      <c r="C13" s="39" t="s">
        <v>383</v>
      </c>
    </row>
    <row r="14" spans="1:10" ht="15.75" x14ac:dyDescent="0.3">
      <c r="A14" s="175" t="s">
        <v>384</v>
      </c>
      <c r="B14" s="39" t="s">
        <v>184</v>
      </c>
      <c r="C14" s="39" t="s">
        <v>385</v>
      </c>
    </row>
    <row r="15" spans="1:10" ht="15.75" x14ac:dyDescent="0.3">
      <c r="A15" s="175" t="s">
        <v>413</v>
      </c>
      <c r="C15" s="39" t="s">
        <v>414</v>
      </c>
    </row>
    <row r="16" spans="1:10" ht="15.75" x14ac:dyDescent="0.3">
      <c r="A16" s="100" t="s">
        <v>220</v>
      </c>
      <c r="B16" s="39" t="s">
        <v>184</v>
      </c>
      <c r="C16" s="39" t="s">
        <v>388</v>
      </c>
    </row>
    <row r="17" spans="1:4" ht="15.75" x14ac:dyDescent="0.3">
      <c r="A17" s="175" t="s">
        <v>225</v>
      </c>
      <c r="B17" s="39" t="s">
        <v>184</v>
      </c>
      <c r="C17" s="39" t="s">
        <v>389</v>
      </c>
    </row>
    <row r="19" spans="1:4" ht="15.75" x14ac:dyDescent="0.3">
      <c r="A19" s="164" t="s">
        <v>415</v>
      </c>
      <c r="D19" s="39" t="s">
        <v>416</v>
      </c>
    </row>
    <row r="20" spans="1:4" ht="15.75" x14ac:dyDescent="0.3">
      <c r="A20" s="164" t="s">
        <v>392</v>
      </c>
      <c r="D20" s="39" t="s">
        <v>393</v>
      </c>
    </row>
    <row r="22" spans="1:4" x14ac:dyDescent="0.2">
      <c r="A22" s="17" t="s">
        <v>417</v>
      </c>
    </row>
    <row r="23" spans="1:4" ht="15.75" x14ac:dyDescent="0.3">
      <c r="A23" s="39" t="s">
        <v>418</v>
      </c>
      <c r="D23" s="39" t="s">
        <v>419</v>
      </c>
    </row>
    <row r="24" spans="1:4" x14ac:dyDescent="0.2">
      <c r="A24" s="39"/>
      <c r="D24" s="39"/>
    </row>
    <row r="25" spans="1:4" ht="15.75" x14ac:dyDescent="0.3">
      <c r="A25" s="175" t="s">
        <v>420</v>
      </c>
      <c r="B25" s="39" t="s">
        <v>400</v>
      </c>
      <c r="C25" s="39" t="s">
        <v>401</v>
      </c>
      <c r="D25" s="39"/>
    </row>
    <row r="26" spans="1:4" ht="15.75" x14ac:dyDescent="0.3">
      <c r="A26" s="100" t="s">
        <v>190</v>
      </c>
      <c r="C26" t="s">
        <v>191</v>
      </c>
      <c r="D26" s="39"/>
    </row>
    <row r="27" spans="1:4" ht="15.75" x14ac:dyDescent="0.3">
      <c r="A27" s="100" t="s">
        <v>188</v>
      </c>
      <c r="B27" t="s">
        <v>184</v>
      </c>
      <c r="C27" s="39" t="s">
        <v>421</v>
      </c>
      <c r="D27" s="39"/>
    </row>
    <row r="28" spans="1:4" x14ac:dyDescent="0.2">
      <c r="A28" s="7"/>
      <c r="C28" s="39" t="s">
        <v>422</v>
      </c>
      <c r="D28" s="39"/>
    </row>
    <row r="29" spans="1:4" x14ac:dyDescent="0.2">
      <c r="A29" s="14"/>
    </row>
    <row r="30" spans="1:4" x14ac:dyDescent="0.2">
      <c r="A30" s="17" t="s">
        <v>423</v>
      </c>
    </row>
    <row r="31" spans="1:4" x14ac:dyDescent="0.2">
      <c r="A31" s="164" t="s">
        <v>424</v>
      </c>
    </row>
    <row r="33" spans="1:16" ht="18" x14ac:dyDescent="0.25">
      <c r="A33" s="10" t="s">
        <v>147</v>
      </c>
    </row>
    <row r="34" spans="1:16" ht="18" x14ac:dyDescent="0.25">
      <c r="A34" s="89" t="e">
        <f>River</f>
        <v>#REF!</v>
      </c>
    </row>
    <row r="35" spans="1:16" s="15" customFormat="1" x14ac:dyDescent="0.2">
      <c r="A35" s="39"/>
      <c r="B35" s="39"/>
      <c r="C35" s="39"/>
      <c r="D35" s="39"/>
      <c r="E35" s="39"/>
      <c r="F35" s="39"/>
      <c r="G35" s="39"/>
      <c r="H35" s="39"/>
      <c r="I35" s="39"/>
      <c r="J35" s="39"/>
      <c r="K35" s="39"/>
      <c r="L35" s="39"/>
      <c r="M35" s="39"/>
      <c r="N35" s="39"/>
      <c r="O35" s="39"/>
      <c r="P35" s="39"/>
    </row>
    <row r="36" spans="1:16" x14ac:dyDescent="0.2">
      <c r="A36" s="1" t="s">
        <v>193</v>
      </c>
      <c r="B36" s="86" t="e">
        <f>River</f>
        <v>#REF!</v>
      </c>
      <c r="C36" s="5"/>
      <c r="D36" s="5"/>
      <c r="E36" s="5"/>
      <c r="F36" s="5"/>
      <c r="I36" s="7"/>
    </row>
    <row r="37" spans="1:16" x14ac:dyDescent="0.2">
      <c r="A37" s="1" t="s">
        <v>334</v>
      </c>
      <c r="B37" s="88" t="e">
        <f>Profile</f>
        <v>#REF!</v>
      </c>
      <c r="C37" s="16"/>
      <c r="D37" s="16"/>
      <c r="E37" s="16"/>
      <c r="F37" s="16"/>
      <c r="I37" s="7"/>
      <c r="L37" s="109"/>
      <c r="M37" s="109"/>
      <c r="N37" s="109"/>
      <c r="O37" s="109"/>
    </row>
    <row r="38" spans="1:16" x14ac:dyDescent="0.2">
      <c r="A38" s="1" t="s">
        <v>237</v>
      </c>
      <c r="B38" s="86" t="s">
        <v>336</v>
      </c>
      <c r="C38" s="5"/>
      <c r="D38" s="5"/>
      <c r="E38" s="5"/>
      <c r="F38" s="5"/>
      <c r="I38" s="7"/>
      <c r="L38" s="109"/>
      <c r="M38" s="109"/>
      <c r="N38" s="109"/>
      <c r="O38" s="109"/>
    </row>
    <row r="39" spans="1:16" x14ac:dyDescent="0.2">
      <c r="I39" s="7"/>
      <c r="K39" s="7"/>
      <c r="L39" s="109"/>
      <c r="M39" s="109"/>
      <c r="N39" s="109"/>
      <c r="O39" s="109"/>
    </row>
    <row r="40" spans="1:16" x14ac:dyDescent="0.2">
      <c r="A40" s="1" t="s">
        <v>404</v>
      </c>
      <c r="B40" s="70" t="s">
        <v>105</v>
      </c>
      <c r="C40" s="5"/>
      <c r="D40" s="5"/>
      <c r="I40" s="7"/>
    </row>
    <row r="41" spans="1:16" x14ac:dyDescent="0.2">
      <c r="A41" s="1" t="s">
        <v>347</v>
      </c>
      <c r="B41" s="91" t="s">
        <v>405</v>
      </c>
      <c r="C41" s="5"/>
      <c r="D41" s="5"/>
      <c r="I41" s="7"/>
    </row>
    <row r="42" spans="1:16" x14ac:dyDescent="0.2">
      <c r="A42" s="1" t="s">
        <v>218</v>
      </c>
      <c r="B42" s="92" t="e">
        <f>Plan</f>
        <v>#REF!</v>
      </c>
      <c r="C42" s="16"/>
      <c r="D42" s="16"/>
      <c r="I42" s="7"/>
    </row>
    <row r="43" spans="1:16" x14ac:dyDescent="0.2">
      <c r="A43" s="1" t="s">
        <v>197</v>
      </c>
      <c r="B43" s="92" t="e">
        <f>Profile</f>
        <v>#REF!</v>
      </c>
      <c r="C43" s="16"/>
      <c r="D43" s="16"/>
      <c r="I43" s="7"/>
    </row>
    <row r="44" spans="1:16" x14ac:dyDescent="0.2">
      <c r="B44" s="18"/>
      <c r="C44" s="18"/>
      <c r="D44" s="18"/>
      <c r="I44" s="7"/>
    </row>
    <row r="45" spans="1:16" x14ac:dyDescent="0.2">
      <c r="B45" s="240" t="s">
        <v>212</v>
      </c>
      <c r="C45" s="240"/>
      <c r="D45" s="240" t="s">
        <v>213</v>
      </c>
      <c r="E45" s="240"/>
      <c r="I45" s="7"/>
    </row>
    <row r="46" spans="1:16" x14ac:dyDescent="0.2">
      <c r="B46" s="19" t="s">
        <v>349</v>
      </c>
      <c r="C46" s="19" t="s">
        <v>350</v>
      </c>
      <c r="D46" s="19" t="s">
        <v>349</v>
      </c>
      <c r="E46" s="19" t="s">
        <v>350</v>
      </c>
      <c r="G46" s="9" t="s">
        <v>201</v>
      </c>
      <c r="K46" s="7"/>
    </row>
    <row r="47" spans="1:16" ht="15.75" x14ac:dyDescent="0.3">
      <c r="A47" s="183" t="s">
        <v>420</v>
      </c>
      <c r="B47" s="97"/>
      <c r="C47" s="97"/>
      <c r="D47" s="97"/>
      <c r="E47" s="97"/>
      <c r="F47" s="39" t="s">
        <v>400</v>
      </c>
      <c r="G47" s="9"/>
      <c r="K47" s="7"/>
    </row>
    <row r="48" spans="1:16" ht="15.75" x14ac:dyDescent="0.3">
      <c r="A48" s="183" t="s">
        <v>190</v>
      </c>
      <c r="B48" s="97"/>
      <c r="C48" s="97"/>
      <c r="D48" s="97"/>
      <c r="E48" s="97"/>
      <c r="G48" s="9"/>
      <c r="K48" s="7"/>
    </row>
    <row r="49" spans="1:11" ht="15.75" x14ac:dyDescent="0.3">
      <c r="A49" s="183" t="s">
        <v>188</v>
      </c>
      <c r="B49" s="97"/>
      <c r="C49" s="97"/>
      <c r="D49" s="97"/>
      <c r="E49" s="97"/>
      <c r="F49" t="s">
        <v>184</v>
      </c>
      <c r="G49" s="9"/>
      <c r="K49" s="7"/>
    </row>
    <row r="50" spans="1:11" x14ac:dyDescent="0.2">
      <c r="B50" s="19"/>
      <c r="C50" s="19"/>
      <c r="F50" s="18"/>
      <c r="G50" s="9"/>
      <c r="K50" s="7"/>
    </row>
    <row r="51" spans="1:11" ht="16.5" thickBot="1" x14ac:dyDescent="0.35">
      <c r="A51" s="185" t="s">
        <v>384</v>
      </c>
      <c r="B51" s="186" t="e">
        <f>(B47/(B48*B49^(1/3)))^(6/7)</f>
        <v>#DIV/0!</v>
      </c>
      <c r="C51" s="186" t="e">
        <f>(C47/(C48*C49^(1/3)))^(6/7)</f>
        <v>#DIV/0!</v>
      </c>
      <c r="D51" s="186" t="e">
        <f>(D47/(D48*D49^(1/3)))^(6/7)</f>
        <v>#DIV/0!</v>
      </c>
      <c r="E51" s="186" t="e">
        <f>(E47/(E48*E49^(1/3)))^(6/7)</f>
        <v>#DIV/0!</v>
      </c>
      <c r="F51" s="8" t="s">
        <v>184</v>
      </c>
      <c r="G51" s="9"/>
      <c r="K51" s="7"/>
    </row>
    <row r="52" spans="1:11" x14ac:dyDescent="0.2">
      <c r="B52" s="19"/>
      <c r="C52" s="19"/>
      <c r="F52" s="18"/>
      <c r="G52" s="9"/>
      <c r="K52" s="7"/>
    </row>
    <row r="53" spans="1:11" ht="15.75" x14ac:dyDescent="0.3">
      <c r="A53" s="183" t="s">
        <v>413</v>
      </c>
      <c r="B53" s="97">
        <v>1</v>
      </c>
      <c r="C53" s="97">
        <v>1</v>
      </c>
      <c r="D53" s="97">
        <v>1</v>
      </c>
      <c r="E53" s="97">
        <v>1</v>
      </c>
      <c r="G53" s="39" t="s">
        <v>425</v>
      </c>
      <c r="K53" s="7"/>
    </row>
    <row r="54" spans="1:11" ht="15.75" x14ac:dyDescent="0.3">
      <c r="A54" s="188" t="s">
        <v>225</v>
      </c>
      <c r="B54" s="147"/>
      <c r="C54" s="147"/>
      <c r="D54" s="147"/>
      <c r="E54" s="147"/>
      <c r="F54" s="39" t="s">
        <v>184</v>
      </c>
      <c r="K54" s="7"/>
    </row>
    <row r="55" spans="1:11" x14ac:dyDescent="0.2">
      <c r="B55" s="18"/>
      <c r="C55" s="18"/>
      <c r="F55" s="18"/>
      <c r="K55" s="7"/>
    </row>
    <row r="56" spans="1:11" x14ac:dyDescent="0.2">
      <c r="B56" s="18"/>
      <c r="C56" s="18"/>
      <c r="F56" s="18"/>
      <c r="K56" s="7"/>
    </row>
    <row r="57" spans="1:11" ht="16.5" thickBot="1" x14ac:dyDescent="0.35">
      <c r="A57" s="185" t="s">
        <v>382</v>
      </c>
      <c r="B57" s="186" t="e">
        <f>B53*B51</f>
        <v>#DIV/0!</v>
      </c>
      <c r="C57" s="186" t="e">
        <f>C53*C51</f>
        <v>#DIV/0!</v>
      </c>
      <c r="D57" s="186" t="e">
        <f>D53*D51</f>
        <v>#DIV/0!</v>
      </c>
      <c r="E57" s="186" t="e">
        <f>E53*E51</f>
        <v>#DIV/0!</v>
      </c>
      <c r="F57" s="8" t="s">
        <v>184</v>
      </c>
      <c r="K57" s="7"/>
    </row>
    <row r="58" spans="1:11" ht="16.5" thickBot="1" x14ac:dyDescent="0.35">
      <c r="A58" s="13" t="s">
        <v>220</v>
      </c>
      <c r="B58" s="25" t="e">
        <f>B57-B54</f>
        <v>#DIV/0!</v>
      </c>
      <c r="C58" s="25" t="e">
        <f>C57-C54</f>
        <v>#DIV/0!</v>
      </c>
      <c r="D58" s="25" t="e">
        <f>D57-D54</f>
        <v>#DIV/0!</v>
      </c>
      <c r="E58" s="25" t="e">
        <f>E57-E54</f>
        <v>#DIV/0!</v>
      </c>
      <c r="F58" s="8" t="s">
        <v>184</v>
      </c>
      <c r="H58" s="39" t="s">
        <v>410</v>
      </c>
      <c r="K58" s="7"/>
    </row>
    <row r="59" spans="1:11" x14ac:dyDescent="0.2">
      <c r="H59" s="39" t="s">
        <v>411</v>
      </c>
      <c r="K59" s="7"/>
    </row>
    <row r="60" spans="1:11" x14ac:dyDescent="0.2">
      <c r="H60" s="39" t="s">
        <v>412</v>
      </c>
      <c r="I60" s="7"/>
    </row>
  </sheetData>
  <mergeCells count="2">
    <mergeCell ref="B45:C45"/>
    <mergeCell ref="D45:E45"/>
  </mergeCells>
  <pageMargins left="1" right="1" top="1" bottom="1" header="0.5" footer="0.5"/>
  <pageSetup scale="56" orientation="portrait" r:id="rId1"/>
  <headerFooter alignWithMargins="0">
    <oddFooter>&amp;R&amp;F
&amp;A
&amp;D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49E46-151E-4D54-BF51-DDE50CFE1A30}">
  <sheetPr>
    <tabColor theme="9" tint="-0.249977111117893"/>
  </sheetPr>
  <dimension ref="A1:BY136"/>
  <sheetViews>
    <sheetView topLeftCell="AY25" zoomScale="80" zoomScaleNormal="80" workbookViewId="0">
      <selection activeCell="BY11" sqref="BY11"/>
    </sheetView>
  </sheetViews>
  <sheetFormatPr defaultRowHeight="12.75" x14ac:dyDescent="0.2"/>
  <sheetData>
    <row r="1" spans="1:77" x14ac:dyDescent="0.2">
      <c r="A1" s="39" t="s">
        <v>592</v>
      </c>
      <c r="Q1" s="39" t="s">
        <v>593</v>
      </c>
    </row>
    <row r="2" spans="1:77" x14ac:dyDescent="0.2">
      <c r="AH2" t="s">
        <v>639</v>
      </c>
      <c r="AN2" t="s">
        <v>640</v>
      </c>
      <c r="AW2" t="s">
        <v>647</v>
      </c>
      <c r="BJ2" t="s">
        <v>639</v>
      </c>
      <c r="BQ2" t="s">
        <v>640</v>
      </c>
      <c r="BY2" s="39" t="s">
        <v>809</v>
      </c>
    </row>
    <row r="3" spans="1:77" x14ac:dyDescent="0.2">
      <c r="A3" s="1"/>
      <c r="I3" s="1"/>
      <c r="AH3" t="s">
        <v>594</v>
      </c>
      <c r="AN3" t="s">
        <v>594</v>
      </c>
      <c r="BJ3" t="s">
        <v>594</v>
      </c>
      <c r="BQ3" t="s">
        <v>594</v>
      </c>
      <c r="BY3" s="39" t="s">
        <v>594</v>
      </c>
    </row>
    <row r="6" spans="1:77" x14ac:dyDescent="0.2">
      <c r="AH6" t="s">
        <v>595</v>
      </c>
      <c r="AN6" t="s">
        <v>595</v>
      </c>
      <c r="BJ6" t="s">
        <v>595</v>
      </c>
      <c r="BQ6" t="s">
        <v>595</v>
      </c>
      <c r="BY6" s="39" t="s">
        <v>595</v>
      </c>
    </row>
    <row r="8" spans="1:77" x14ac:dyDescent="0.2">
      <c r="AH8" t="s">
        <v>652</v>
      </c>
      <c r="AN8" t="s">
        <v>691</v>
      </c>
      <c r="BJ8" t="s">
        <v>730</v>
      </c>
      <c r="BQ8" t="s">
        <v>751</v>
      </c>
      <c r="BY8" s="39" t="s">
        <v>769</v>
      </c>
    </row>
    <row r="9" spans="1:77" x14ac:dyDescent="0.2">
      <c r="AH9" t="s">
        <v>653</v>
      </c>
      <c r="AN9" t="s">
        <v>692</v>
      </c>
      <c r="BJ9" t="s">
        <v>731</v>
      </c>
      <c r="BQ9" t="s">
        <v>752</v>
      </c>
      <c r="BY9" s="39" t="s">
        <v>770</v>
      </c>
    </row>
    <row r="10" spans="1:77" x14ac:dyDescent="0.2">
      <c r="AH10" t="s">
        <v>654</v>
      </c>
      <c r="AN10" t="s">
        <v>693</v>
      </c>
      <c r="BJ10" t="s">
        <v>732</v>
      </c>
      <c r="BQ10" t="s">
        <v>753</v>
      </c>
      <c r="BY10" s="39" t="s">
        <v>771</v>
      </c>
    </row>
    <row r="11" spans="1:77" x14ac:dyDescent="0.2">
      <c r="AH11" t="s">
        <v>655</v>
      </c>
      <c r="AN11" t="s">
        <v>694</v>
      </c>
      <c r="BJ11" t="s">
        <v>733</v>
      </c>
      <c r="BQ11" t="s">
        <v>754</v>
      </c>
      <c r="BY11" s="39" t="s">
        <v>772</v>
      </c>
    </row>
    <row r="14" spans="1:77" x14ac:dyDescent="0.2">
      <c r="AH14" t="s">
        <v>596</v>
      </c>
      <c r="AN14" t="s">
        <v>596</v>
      </c>
      <c r="BJ14" t="s">
        <v>596</v>
      </c>
      <c r="BQ14" t="s">
        <v>596</v>
      </c>
      <c r="BY14" s="39" t="s">
        <v>596</v>
      </c>
    </row>
    <row r="16" spans="1:77" x14ac:dyDescent="0.2">
      <c r="AH16" t="s">
        <v>625</v>
      </c>
      <c r="AN16" t="s">
        <v>625</v>
      </c>
      <c r="BJ16" t="s">
        <v>641</v>
      </c>
      <c r="BQ16" t="s">
        <v>641</v>
      </c>
      <c r="BY16" s="39" t="s">
        <v>773</v>
      </c>
    </row>
    <row r="17" spans="34:77" x14ac:dyDescent="0.2">
      <c r="AH17" t="s">
        <v>626</v>
      </c>
      <c r="AN17" t="s">
        <v>626</v>
      </c>
      <c r="BJ17" t="s">
        <v>642</v>
      </c>
      <c r="BQ17" t="s">
        <v>642</v>
      </c>
      <c r="BY17" s="39" t="s">
        <v>774</v>
      </c>
    </row>
    <row r="18" spans="34:77" x14ac:dyDescent="0.2">
      <c r="AH18" t="s">
        <v>627</v>
      </c>
      <c r="AN18" t="s">
        <v>627</v>
      </c>
      <c r="BJ18" t="s">
        <v>643</v>
      </c>
      <c r="BQ18" t="s">
        <v>643</v>
      </c>
      <c r="BY18" s="39" t="s">
        <v>775</v>
      </c>
    </row>
    <row r="19" spans="34:77" x14ac:dyDescent="0.2">
      <c r="AH19" t="s">
        <v>656</v>
      </c>
      <c r="AN19" t="s">
        <v>695</v>
      </c>
      <c r="BJ19" t="s">
        <v>734</v>
      </c>
      <c r="BQ19" t="s">
        <v>755</v>
      </c>
      <c r="BY19" s="39" t="s">
        <v>776</v>
      </c>
    </row>
    <row r="20" spans="34:77" x14ac:dyDescent="0.2">
      <c r="AH20" t="s">
        <v>657</v>
      </c>
      <c r="AN20" t="s">
        <v>696</v>
      </c>
      <c r="BJ20" t="s">
        <v>735</v>
      </c>
      <c r="BQ20" t="s">
        <v>756</v>
      </c>
      <c r="BY20" s="39" t="s">
        <v>777</v>
      </c>
    </row>
    <row r="21" spans="34:77" x14ac:dyDescent="0.2">
      <c r="AH21" t="s">
        <v>648</v>
      </c>
      <c r="AN21" t="s">
        <v>648</v>
      </c>
      <c r="BJ21" t="s">
        <v>650</v>
      </c>
      <c r="BQ21" t="s">
        <v>757</v>
      </c>
      <c r="BY21" s="39" t="s">
        <v>778</v>
      </c>
    </row>
    <row r="22" spans="34:77" x14ac:dyDescent="0.2">
      <c r="AH22" t="s">
        <v>658</v>
      </c>
      <c r="AN22" t="s">
        <v>697</v>
      </c>
      <c r="BJ22" t="s">
        <v>736</v>
      </c>
      <c r="BQ22" t="s">
        <v>758</v>
      </c>
      <c r="BY22" s="39" t="s">
        <v>779</v>
      </c>
    </row>
    <row r="23" spans="34:77" x14ac:dyDescent="0.2">
      <c r="AH23" t="s">
        <v>659</v>
      </c>
      <c r="AN23" t="s">
        <v>698</v>
      </c>
      <c r="BJ23" t="s">
        <v>737</v>
      </c>
      <c r="BQ23" t="s">
        <v>759</v>
      </c>
      <c r="BY23" s="39" t="s">
        <v>780</v>
      </c>
    </row>
    <row r="24" spans="34:77" x14ac:dyDescent="0.2">
      <c r="AH24" t="s">
        <v>597</v>
      </c>
      <c r="AN24" t="s">
        <v>597</v>
      </c>
      <c r="BJ24" t="s">
        <v>597</v>
      </c>
      <c r="BQ24" t="s">
        <v>597</v>
      </c>
      <c r="BY24" s="39" t="s">
        <v>597</v>
      </c>
    </row>
    <row r="25" spans="34:77" x14ac:dyDescent="0.2">
      <c r="AH25" t="s">
        <v>660</v>
      </c>
      <c r="AN25" t="s">
        <v>699</v>
      </c>
      <c r="BJ25" t="s">
        <v>738</v>
      </c>
      <c r="BQ25" t="s">
        <v>760</v>
      </c>
      <c r="BY25" s="39" t="s">
        <v>781</v>
      </c>
    </row>
    <row r="26" spans="34:77" x14ac:dyDescent="0.2">
      <c r="AH26" t="s">
        <v>661</v>
      </c>
      <c r="AN26" t="s">
        <v>700</v>
      </c>
      <c r="BJ26" t="s">
        <v>739</v>
      </c>
      <c r="BQ26" t="s">
        <v>761</v>
      </c>
      <c r="BY26" s="39" t="s">
        <v>782</v>
      </c>
    </row>
    <row r="27" spans="34:77" x14ac:dyDescent="0.2">
      <c r="AH27" t="s">
        <v>662</v>
      </c>
      <c r="AN27" t="s">
        <v>701</v>
      </c>
      <c r="BJ27" t="s">
        <v>740</v>
      </c>
      <c r="BQ27" t="s">
        <v>762</v>
      </c>
      <c r="BY27" s="39" t="s">
        <v>783</v>
      </c>
    </row>
    <row r="29" spans="34:77" x14ac:dyDescent="0.2">
      <c r="AH29" t="s">
        <v>663</v>
      </c>
      <c r="AN29" t="s">
        <v>702</v>
      </c>
      <c r="BJ29" t="s">
        <v>741</v>
      </c>
      <c r="BQ29" t="s">
        <v>763</v>
      </c>
      <c r="BY29" s="39" t="s">
        <v>784</v>
      </c>
    </row>
    <row r="32" spans="34:77" x14ac:dyDescent="0.2">
      <c r="AH32" t="s">
        <v>598</v>
      </c>
      <c r="AN32" t="s">
        <v>598</v>
      </c>
      <c r="BJ32" t="s">
        <v>598</v>
      </c>
      <c r="BQ32" t="s">
        <v>598</v>
      </c>
      <c r="BY32" s="39" t="s">
        <v>598</v>
      </c>
    </row>
    <row r="34" spans="34:77" x14ac:dyDescent="0.2">
      <c r="AH34" t="s">
        <v>664</v>
      </c>
      <c r="AN34" t="s">
        <v>703</v>
      </c>
      <c r="BJ34" t="s">
        <v>742</v>
      </c>
      <c r="BQ34" t="s">
        <v>764</v>
      </c>
      <c r="BY34" s="39" t="s">
        <v>785</v>
      </c>
    </row>
    <row r="35" spans="34:77" x14ac:dyDescent="0.2">
      <c r="AH35" t="s">
        <v>665</v>
      </c>
      <c r="AN35" t="s">
        <v>704</v>
      </c>
      <c r="BJ35" t="s">
        <v>743</v>
      </c>
      <c r="BQ35" t="s">
        <v>765</v>
      </c>
      <c r="BY35" s="39" t="s">
        <v>786</v>
      </c>
    </row>
    <row r="36" spans="34:77" x14ac:dyDescent="0.2">
      <c r="AH36" t="s">
        <v>628</v>
      </c>
      <c r="AN36" t="s">
        <v>628</v>
      </c>
      <c r="BJ36" t="s">
        <v>644</v>
      </c>
      <c r="BQ36" t="s">
        <v>645</v>
      </c>
      <c r="BY36" s="39" t="s">
        <v>787</v>
      </c>
    </row>
    <row r="37" spans="34:77" x14ac:dyDescent="0.2">
      <c r="AH37" t="s">
        <v>666</v>
      </c>
      <c r="AN37" t="s">
        <v>705</v>
      </c>
      <c r="BJ37" t="s">
        <v>744</v>
      </c>
      <c r="BQ37" t="s">
        <v>766</v>
      </c>
      <c r="BY37" s="39" t="s">
        <v>607</v>
      </c>
    </row>
    <row r="38" spans="34:77" x14ac:dyDescent="0.2">
      <c r="AH38" t="s">
        <v>667</v>
      </c>
      <c r="AN38" t="s">
        <v>706</v>
      </c>
      <c r="BJ38" t="s">
        <v>745</v>
      </c>
      <c r="BQ38" t="s">
        <v>767</v>
      </c>
      <c r="BY38" s="39" t="s">
        <v>622</v>
      </c>
    </row>
    <row r="41" spans="34:77" x14ac:dyDescent="0.2">
      <c r="AH41" t="s">
        <v>599</v>
      </c>
      <c r="AN41" t="s">
        <v>599</v>
      </c>
      <c r="BJ41" t="s">
        <v>599</v>
      </c>
      <c r="BQ41" t="s">
        <v>599</v>
      </c>
      <c r="BY41" s="39" t="s">
        <v>599</v>
      </c>
    </row>
    <row r="43" spans="34:77" x14ac:dyDescent="0.2">
      <c r="AH43" t="s">
        <v>668</v>
      </c>
      <c r="AN43" t="s">
        <v>707</v>
      </c>
      <c r="BJ43" t="s">
        <v>746</v>
      </c>
      <c r="BQ43" t="s">
        <v>635</v>
      </c>
      <c r="BY43" s="39" t="s">
        <v>635</v>
      </c>
    </row>
    <row r="44" spans="34:77" x14ac:dyDescent="0.2">
      <c r="AH44" t="s">
        <v>669</v>
      </c>
      <c r="AN44" t="s">
        <v>708</v>
      </c>
      <c r="BJ44" t="s">
        <v>747</v>
      </c>
      <c r="BQ44" t="s">
        <v>636</v>
      </c>
      <c r="BY44" s="39" t="s">
        <v>636</v>
      </c>
    </row>
    <row r="45" spans="34:77" x14ac:dyDescent="0.2">
      <c r="AH45" t="s">
        <v>629</v>
      </c>
      <c r="AN45" t="s">
        <v>629</v>
      </c>
      <c r="BJ45" t="s">
        <v>651</v>
      </c>
      <c r="BQ45" t="s">
        <v>646</v>
      </c>
      <c r="BY45" s="39" t="s">
        <v>788</v>
      </c>
    </row>
    <row r="46" spans="34:77" x14ac:dyDescent="0.2">
      <c r="AH46" t="s">
        <v>670</v>
      </c>
      <c r="AN46" t="s">
        <v>709</v>
      </c>
      <c r="BJ46" t="s">
        <v>748</v>
      </c>
      <c r="BQ46" t="s">
        <v>637</v>
      </c>
      <c r="BY46" s="39" t="s">
        <v>637</v>
      </c>
    </row>
    <row r="47" spans="34:77" x14ac:dyDescent="0.2">
      <c r="AH47" t="s">
        <v>671</v>
      </c>
      <c r="AN47" t="s">
        <v>710</v>
      </c>
      <c r="BJ47" t="s">
        <v>749</v>
      </c>
      <c r="BQ47" t="s">
        <v>638</v>
      </c>
      <c r="BY47" s="39" t="s">
        <v>638</v>
      </c>
    </row>
    <row r="50" spans="34:77" x14ac:dyDescent="0.2">
      <c r="AH50" t="s">
        <v>600</v>
      </c>
      <c r="AN50" t="s">
        <v>600</v>
      </c>
      <c r="BJ50" t="s">
        <v>600</v>
      </c>
      <c r="BQ50" t="s">
        <v>600</v>
      </c>
      <c r="BY50" s="39" t="s">
        <v>600</v>
      </c>
    </row>
    <row r="52" spans="34:77" x14ac:dyDescent="0.2">
      <c r="AH52" t="s">
        <v>601</v>
      </c>
      <c r="AN52" t="s">
        <v>601</v>
      </c>
      <c r="BJ52" t="s">
        <v>601</v>
      </c>
      <c r="BQ52" t="s">
        <v>601</v>
      </c>
      <c r="BY52" s="39" t="s">
        <v>601</v>
      </c>
    </row>
    <row r="54" spans="34:77" x14ac:dyDescent="0.2">
      <c r="AH54" t="s">
        <v>672</v>
      </c>
      <c r="AN54" t="s">
        <v>711</v>
      </c>
      <c r="BJ54" t="s">
        <v>750</v>
      </c>
      <c r="BQ54" t="s">
        <v>768</v>
      </c>
      <c r="BY54" s="39" t="s">
        <v>789</v>
      </c>
    </row>
    <row r="55" spans="34:77" x14ac:dyDescent="0.2">
      <c r="AH55" t="s">
        <v>673</v>
      </c>
      <c r="AN55" t="s">
        <v>712</v>
      </c>
      <c r="BJ55" t="s">
        <v>673</v>
      </c>
      <c r="BQ55" t="s">
        <v>712</v>
      </c>
      <c r="BY55" s="39" t="s">
        <v>790</v>
      </c>
    </row>
    <row r="56" spans="34:77" x14ac:dyDescent="0.2">
      <c r="AH56" t="s">
        <v>674</v>
      </c>
      <c r="AN56" t="s">
        <v>713</v>
      </c>
      <c r="BJ56" t="s">
        <v>674</v>
      </c>
      <c r="BQ56" t="s">
        <v>713</v>
      </c>
      <c r="BY56" s="39" t="s">
        <v>791</v>
      </c>
    </row>
    <row r="57" spans="34:77" x14ac:dyDescent="0.2">
      <c r="AH57" t="s">
        <v>675</v>
      </c>
      <c r="AN57" t="s">
        <v>714</v>
      </c>
      <c r="BJ57" t="s">
        <v>675</v>
      </c>
      <c r="BQ57" t="s">
        <v>714</v>
      </c>
      <c r="BY57" s="39" t="s">
        <v>792</v>
      </c>
    </row>
    <row r="60" spans="34:77" x14ac:dyDescent="0.2">
      <c r="AH60" t="s">
        <v>602</v>
      </c>
      <c r="AN60" t="s">
        <v>602</v>
      </c>
      <c r="BJ60" t="s">
        <v>602</v>
      </c>
      <c r="BQ60" t="s">
        <v>602</v>
      </c>
      <c r="BY60" s="39" t="s">
        <v>602</v>
      </c>
    </row>
    <row r="62" spans="34:77" x14ac:dyDescent="0.2">
      <c r="AH62" t="s">
        <v>630</v>
      </c>
      <c r="AN62" t="s">
        <v>630</v>
      </c>
      <c r="BJ62" t="s">
        <v>630</v>
      </c>
      <c r="BQ62" t="s">
        <v>630</v>
      </c>
      <c r="BY62" s="39" t="s">
        <v>793</v>
      </c>
    </row>
    <row r="63" spans="34:77" x14ac:dyDescent="0.2">
      <c r="AH63" t="s">
        <v>631</v>
      </c>
      <c r="AN63" t="s">
        <v>631</v>
      </c>
      <c r="BJ63" t="s">
        <v>631</v>
      </c>
      <c r="BQ63" t="s">
        <v>631</v>
      </c>
      <c r="BY63" s="39" t="s">
        <v>794</v>
      </c>
    </row>
    <row r="64" spans="34:77" x14ac:dyDescent="0.2">
      <c r="AH64" t="s">
        <v>632</v>
      </c>
      <c r="AN64" t="s">
        <v>632</v>
      </c>
      <c r="BJ64" t="s">
        <v>632</v>
      </c>
      <c r="BQ64" t="s">
        <v>632</v>
      </c>
      <c r="BY64" s="39" t="s">
        <v>795</v>
      </c>
    </row>
    <row r="65" spans="34:77" x14ac:dyDescent="0.2">
      <c r="AH65" t="s">
        <v>676</v>
      </c>
      <c r="AN65" t="s">
        <v>715</v>
      </c>
      <c r="BJ65" t="s">
        <v>676</v>
      </c>
      <c r="BQ65" t="s">
        <v>715</v>
      </c>
      <c r="BY65" s="39" t="s">
        <v>796</v>
      </c>
    </row>
    <row r="66" spans="34:77" x14ac:dyDescent="0.2">
      <c r="AH66" t="s">
        <v>603</v>
      </c>
      <c r="AN66" t="s">
        <v>603</v>
      </c>
      <c r="BJ66" t="s">
        <v>603</v>
      </c>
      <c r="BQ66" t="s">
        <v>603</v>
      </c>
      <c r="BY66" s="39" t="s">
        <v>603</v>
      </c>
    </row>
    <row r="67" spans="34:77" x14ac:dyDescent="0.2">
      <c r="AH67" t="s">
        <v>677</v>
      </c>
      <c r="AN67" t="s">
        <v>716</v>
      </c>
      <c r="BJ67" t="s">
        <v>677</v>
      </c>
      <c r="BQ67" t="s">
        <v>716</v>
      </c>
      <c r="BY67" s="39" t="s">
        <v>797</v>
      </c>
    </row>
    <row r="68" spans="34:77" x14ac:dyDescent="0.2">
      <c r="AH68" t="s">
        <v>678</v>
      </c>
      <c r="AN68" t="s">
        <v>717</v>
      </c>
      <c r="BJ68" t="s">
        <v>678</v>
      </c>
      <c r="BQ68" t="s">
        <v>717</v>
      </c>
      <c r="BY68" s="39" t="s">
        <v>798</v>
      </c>
    </row>
    <row r="69" spans="34:77" x14ac:dyDescent="0.2">
      <c r="AH69" t="s">
        <v>679</v>
      </c>
      <c r="AN69" t="s">
        <v>718</v>
      </c>
      <c r="BJ69" t="s">
        <v>679</v>
      </c>
      <c r="BQ69" t="s">
        <v>718</v>
      </c>
      <c r="BY69" s="39" t="s">
        <v>799</v>
      </c>
    </row>
    <row r="70" spans="34:77" x14ac:dyDescent="0.2">
      <c r="AH70" t="s">
        <v>603</v>
      </c>
      <c r="AN70" t="s">
        <v>603</v>
      </c>
      <c r="BJ70" t="s">
        <v>603</v>
      </c>
      <c r="BQ70" t="s">
        <v>603</v>
      </c>
      <c r="BY70" s="39" t="s">
        <v>603</v>
      </c>
    </row>
    <row r="71" spans="34:77" x14ac:dyDescent="0.2">
      <c r="AH71" t="s">
        <v>680</v>
      </c>
      <c r="AN71" t="s">
        <v>719</v>
      </c>
      <c r="BJ71" t="s">
        <v>680</v>
      </c>
      <c r="BQ71" t="s">
        <v>719</v>
      </c>
      <c r="BY71" s="39" t="s">
        <v>800</v>
      </c>
    </row>
    <row r="72" spans="34:77" x14ac:dyDescent="0.2">
      <c r="AH72" t="s">
        <v>649</v>
      </c>
      <c r="AN72" t="s">
        <v>649</v>
      </c>
      <c r="BJ72" t="s">
        <v>649</v>
      </c>
      <c r="BQ72" t="s">
        <v>649</v>
      </c>
      <c r="BY72" s="39" t="s">
        <v>801</v>
      </c>
    </row>
    <row r="73" spans="34:77" x14ac:dyDescent="0.2">
      <c r="AH73" t="s">
        <v>681</v>
      </c>
      <c r="AN73" t="s">
        <v>720</v>
      </c>
      <c r="BJ73" t="s">
        <v>681</v>
      </c>
      <c r="BQ73" t="s">
        <v>720</v>
      </c>
      <c r="BY73" s="39" t="s">
        <v>802</v>
      </c>
    </row>
    <row r="74" spans="34:77" x14ac:dyDescent="0.2">
      <c r="AH74" t="s">
        <v>682</v>
      </c>
      <c r="AN74" t="s">
        <v>721</v>
      </c>
      <c r="BJ74" t="s">
        <v>682</v>
      </c>
      <c r="BQ74" t="s">
        <v>721</v>
      </c>
      <c r="BY74" s="39" t="s">
        <v>803</v>
      </c>
    </row>
    <row r="75" spans="34:77" x14ac:dyDescent="0.2">
      <c r="AH75" t="s">
        <v>604</v>
      </c>
      <c r="AN75" t="s">
        <v>604</v>
      </c>
      <c r="BJ75" t="s">
        <v>604</v>
      </c>
      <c r="BQ75" t="s">
        <v>604</v>
      </c>
      <c r="BY75" s="39" t="s">
        <v>604</v>
      </c>
    </row>
    <row r="76" spans="34:77" x14ac:dyDescent="0.2">
      <c r="AH76" t="s">
        <v>683</v>
      </c>
      <c r="AN76" t="s">
        <v>722</v>
      </c>
      <c r="BJ76" t="s">
        <v>683</v>
      </c>
      <c r="BQ76" t="s">
        <v>722</v>
      </c>
      <c r="BY76" s="39" t="s">
        <v>804</v>
      </c>
    </row>
    <row r="77" spans="34:77" x14ac:dyDescent="0.2">
      <c r="AH77" t="s">
        <v>684</v>
      </c>
      <c r="AN77" t="s">
        <v>723</v>
      </c>
      <c r="BJ77" t="s">
        <v>684</v>
      </c>
      <c r="BQ77" t="s">
        <v>723</v>
      </c>
      <c r="BY77" s="39" t="s">
        <v>805</v>
      </c>
    </row>
    <row r="78" spans="34:77" x14ac:dyDescent="0.2">
      <c r="AH78" t="s">
        <v>685</v>
      </c>
      <c r="AN78" t="s">
        <v>724</v>
      </c>
      <c r="BJ78" t="s">
        <v>685</v>
      </c>
      <c r="BQ78" t="s">
        <v>724</v>
      </c>
      <c r="BY78" s="39" t="s">
        <v>806</v>
      </c>
    </row>
    <row r="81" spans="34:77" x14ac:dyDescent="0.2">
      <c r="AH81" t="s">
        <v>605</v>
      </c>
      <c r="AN81" t="s">
        <v>605</v>
      </c>
      <c r="BJ81" t="s">
        <v>605</v>
      </c>
      <c r="BQ81" t="s">
        <v>605</v>
      </c>
      <c r="BY81" s="39" t="s">
        <v>605</v>
      </c>
    </row>
    <row r="83" spans="34:77" x14ac:dyDescent="0.2">
      <c r="AH83" t="s">
        <v>686</v>
      </c>
      <c r="AN83" t="s">
        <v>725</v>
      </c>
      <c r="BJ83" t="s">
        <v>686</v>
      </c>
      <c r="BQ83" t="s">
        <v>725</v>
      </c>
      <c r="BY83" s="39" t="s">
        <v>785</v>
      </c>
    </row>
    <row r="84" spans="34:77" x14ac:dyDescent="0.2">
      <c r="AH84" t="s">
        <v>606</v>
      </c>
      <c r="AN84" t="s">
        <v>606</v>
      </c>
      <c r="BJ84" t="s">
        <v>606</v>
      </c>
      <c r="BQ84" t="s">
        <v>606</v>
      </c>
      <c r="BY84" s="39" t="s">
        <v>786</v>
      </c>
    </row>
    <row r="85" spans="34:77" x14ac:dyDescent="0.2">
      <c r="AH85" t="s">
        <v>633</v>
      </c>
      <c r="AN85" t="s">
        <v>633</v>
      </c>
      <c r="BJ85" t="s">
        <v>633</v>
      </c>
      <c r="BQ85" t="s">
        <v>633</v>
      </c>
      <c r="BY85" s="39" t="s">
        <v>807</v>
      </c>
    </row>
    <row r="86" spans="34:77" x14ac:dyDescent="0.2">
      <c r="AH86" t="s">
        <v>607</v>
      </c>
      <c r="AN86" t="s">
        <v>607</v>
      </c>
      <c r="BJ86" t="s">
        <v>607</v>
      </c>
      <c r="BQ86" t="s">
        <v>607</v>
      </c>
      <c r="BY86" s="39" t="s">
        <v>607</v>
      </c>
    </row>
    <row r="87" spans="34:77" x14ac:dyDescent="0.2">
      <c r="AH87" t="s">
        <v>622</v>
      </c>
      <c r="AN87" t="s">
        <v>622</v>
      </c>
      <c r="BJ87" t="s">
        <v>622</v>
      </c>
      <c r="BQ87" t="s">
        <v>622</v>
      </c>
      <c r="BY87" s="39" t="s">
        <v>622</v>
      </c>
    </row>
    <row r="90" spans="34:77" x14ac:dyDescent="0.2">
      <c r="AH90" t="s">
        <v>608</v>
      </c>
      <c r="AN90" t="s">
        <v>608</v>
      </c>
      <c r="BJ90" t="s">
        <v>608</v>
      </c>
      <c r="BQ90" t="s">
        <v>608</v>
      </c>
      <c r="BY90" s="39" t="s">
        <v>608</v>
      </c>
    </row>
    <row r="92" spans="34:77" x14ac:dyDescent="0.2">
      <c r="AH92" t="s">
        <v>687</v>
      </c>
      <c r="AN92" t="s">
        <v>726</v>
      </c>
      <c r="BJ92" t="s">
        <v>687</v>
      </c>
      <c r="BQ92" t="s">
        <v>726</v>
      </c>
      <c r="BY92" s="39" t="s">
        <v>635</v>
      </c>
    </row>
    <row r="93" spans="34:77" x14ac:dyDescent="0.2">
      <c r="AH93" t="s">
        <v>688</v>
      </c>
      <c r="AN93" t="s">
        <v>727</v>
      </c>
      <c r="BJ93" t="s">
        <v>688</v>
      </c>
      <c r="BQ93" t="s">
        <v>727</v>
      </c>
      <c r="BY93" s="39" t="s">
        <v>636</v>
      </c>
    </row>
    <row r="94" spans="34:77" x14ac:dyDescent="0.2">
      <c r="AH94" t="s">
        <v>634</v>
      </c>
      <c r="AN94" t="s">
        <v>634</v>
      </c>
      <c r="BJ94" t="s">
        <v>634</v>
      </c>
      <c r="BQ94" t="s">
        <v>634</v>
      </c>
      <c r="BY94" s="39" t="s">
        <v>808</v>
      </c>
    </row>
    <row r="95" spans="34:77" x14ac:dyDescent="0.2">
      <c r="AH95" t="s">
        <v>689</v>
      </c>
      <c r="AN95" t="s">
        <v>728</v>
      </c>
      <c r="BJ95" t="s">
        <v>689</v>
      </c>
      <c r="BQ95" t="s">
        <v>728</v>
      </c>
      <c r="BY95" s="39" t="s">
        <v>637</v>
      </c>
    </row>
    <row r="96" spans="34:77" x14ac:dyDescent="0.2">
      <c r="AH96" t="s">
        <v>690</v>
      </c>
      <c r="AN96" t="s">
        <v>729</v>
      </c>
      <c r="BJ96" t="s">
        <v>690</v>
      </c>
      <c r="BQ96" t="s">
        <v>729</v>
      </c>
      <c r="BY96" s="39" t="s">
        <v>638</v>
      </c>
    </row>
    <row r="99" spans="34:77" x14ac:dyDescent="0.2">
      <c r="AH99" t="s">
        <v>609</v>
      </c>
      <c r="AN99" t="s">
        <v>609</v>
      </c>
      <c r="BJ99" t="s">
        <v>609</v>
      </c>
      <c r="BQ99" t="s">
        <v>609</v>
      </c>
      <c r="BY99" s="39" t="s">
        <v>609</v>
      </c>
    </row>
    <row r="101" spans="34:77" x14ac:dyDescent="0.2">
      <c r="AH101" t="s">
        <v>623</v>
      </c>
      <c r="AN101" t="s">
        <v>623</v>
      </c>
      <c r="BJ101" t="s">
        <v>623</v>
      </c>
      <c r="BQ101" t="s">
        <v>623</v>
      </c>
      <c r="BY101" s="39" t="s">
        <v>623</v>
      </c>
    </row>
    <row r="103" spans="34:77" x14ac:dyDescent="0.2">
      <c r="AH103" t="s">
        <v>624</v>
      </c>
      <c r="AN103" t="s">
        <v>624</v>
      </c>
      <c r="BJ103" t="s">
        <v>624</v>
      </c>
      <c r="BQ103" t="s">
        <v>624</v>
      </c>
      <c r="BY103" s="39" t="s">
        <v>624</v>
      </c>
    </row>
    <row r="106" spans="34:77" x14ac:dyDescent="0.2">
      <c r="AH106" t="s">
        <v>610</v>
      </c>
      <c r="AN106" t="s">
        <v>610</v>
      </c>
      <c r="BJ106" t="s">
        <v>610</v>
      </c>
      <c r="BQ106" t="s">
        <v>610</v>
      </c>
      <c r="BY106" s="39" t="s">
        <v>610</v>
      </c>
    </row>
    <row r="109" spans="34:77" x14ac:dyDescent="0.2">
      <c r="AH109" t="s">
        <v>611</v>
      </c>
      <c r="AN109" t="s">
        <v>611</v>
      </c>
      <c r="BJ109" t="s">
        <v>611</v>
      </c>
      <c r="BQ109" t="s">
        <v>611</v>
      </c>
      <c r="BY109" s="39" t="s">
        <v>611</v>
      </c>
    </row>
    <row r="111" spans="34:77" x14ac:dyDescent="0.2">
      <c r="AH111" t="s">
        <v>612</v>
      </c>
      <c r="AN111" t="s">
        <v>612</v>
      </c>
      <c r="BJ111" t="s">
        <v>612</v>
      </c>
      <c r="BQ111" t="s">
        <v>612</v>
      </c>
      <c r="BY111" s="39" t="s">
        <v>612</v>
      </c>
    </row>
    <row r="112" spans="34:77" x14ac:dyDescent="0.2">
      <c r="AH112" t="s">
        <v>613</v>
      </c>
      <c r="AN112" t="s">
        <v>613</v>
      </c>
      <c r="BJ112" t="s">
        <v>613</v>
      </c>
      <c r="BQ112" t="s">
        <v>613</v>
      </c>
      <c r="BY112" s="39" t="s">
        <v>613</v>
      </c>
    </row>
    <row r="113" spans="1:77" x14ac:dyDescent="0.2">
      <c r="AH113" t="s">
        <v>614</v>
      </c>
      <c r="AN113" t="s">
        <v>614</v>
      </c>
      <c r="BJ113" t="s">
        <v>614</v>
      </c>
      <c r="BQ113" t="s">
        <v>614</v>
      </c>
      <c r="BY113" s="39" t="s">
        <v>614</v>
      </c>
    </row>
    <row r="114" spans="1:77" x14ac:dyDescent="0.2">
      <c r="AH114" t="s">
        <v>615</v>
      </c>
      <c r="AN114" t="s">
        <v>615</v>
      </c>
      <c r="BJ114" t="s">
        <v>615</v>
      </c>
      <c r="BQ114" t="s">
        <v>615</v>
      </c>
      <c r="BY114" s="39" t="s">
        <v>615</v>
      </c>
    </row>
    <row r="115" spans="1:77" x14ac:dyDescent="0.2">
      <c r="AH115" t="s">
        <v>616</v>
      </c>
      <c r="AN115" t="s">
        <v>616</v>
      </c>
      <c r="BJ115" t="s">
        <v>616</v>
      </c>
      <c r="BQ115" t="s">
        <v>616</v>
      </c>
      <c r="BY115" s="39" t="s">
        <v>616</v>
      </c>
    </row>
    <row r="116" spans="1:77" x14ac:dyDescent="0.2">
      <c r="AH116" t="s">
        <v>617</v>
      </c>
      <c r="AN116" t="s">
        <v>617</v>
      </c>
      <c r="BJ116" t="s">
        <v>617</v>
      </c>
      <c r="BQ116" t="s">
        <v>617</v>
      </c>
      <c r="BY116" s="39" t="s">
        <v>617</v>
      </c>
    </row>
    <row r="118" spans="1:77" x14ac:dyDescent="0.2">
      <c r="AH118" t="s">
        <v>618</v>
      </c>
      <c r="AN118" t="s">
        <v>618</v>
      </c>
      <c r="BJ118" t="s">
        <v>618</v>
      </c>
      <c r="BQ118" t="s">
        <v>618</v>
      </c>
      <c r="BY118" s="39" t="s">
        <v>618</v>
      </c>
    </row>
    <row r="119" spans="1:77" x14ac:dyDescent="0.2">
      <c r="AH119" t="s">
        <v>619</v>
      </c>
      <c r="AN119" t="s">
        <v>619</v>
      </c>
      <c r="BJ119" t="s">
        <v>619</v>
      </c>
      <c r="BQ119" t="s">
        <v>619</v>
      </c>
      <c r="BY119" s="39" t="s">
        <v>619</v>
      </c>
    </row>
    <row r="120" spans="1:77" x14ac:dyDescent="0.2">
      <c r="AH120" t="s">
        <v>620</v>
      </c>
      <c r="AN120" t="s">
        <v>620</v>
      </c>
      <c r="BJ120" t="s">
        <v>620</v>
      </c>
      <c r="BQ120" t="s">
        <v>620</v>
      </c>
      <c r="BY120" s="39" t="s">
        <v>620</v>
      </c>
    </row>
    <row r="121" spans="1:77" x14ac:dyDescent="0.2">
      <c r="AH121" t="s">
        <v>621</v>
      </c>
      <c r="AN121" t="s">
        <v>621</v>
      </c>
      <c r="BJ121" t="s">
        <v>621</v>
      </c>
      <c r="BQ121" t="s">
        <v>621</v>
      </c>
      <c r="BY121" s="39" t="s">
        <v>621</v>
      </c>
    </row>
    <row r="124" spans="1:77" x14ac:dyDescent="0.2">
      <c r="A124" s="39"/>
      <c r="I124" s="39"/>
    </row>
    <row r="126" spans="1:77" x14ac:dyDescent="0.2">
      <c r="A126" s="39"/>
      <c r="I126" s="39"/>
    </row>
    <row r="127" spans="1:77" x14ac:dyDescent="0.2">
      <c r="A127" s="39"/>
      <c r="I127" s="39"/>
    </row>
    <row r="128" spans="1:77" x14ac:dyDescent="0.2">
      <c r="A128" s="39"/>
      <c r="I128" s="39"/>
    </row>
    <row r="129" spans="1:9" x14ac:dyDescent="0.2">
      <c r="A129" s="39"/>
      <c r="I129" s="39"/>
    </row>
    <row r="130" spans="1:9" x14ac:dyDescent="0.2">
      <c r="A130" s="39"/>
      <c r="I130" s="39"/>
    </row>
    <row r="131" spans="1:9" x14ac:dyDescent="0.2">
      <c r="A131" s="39"/>
      <c r="I131" s="39"/>
    </row>
    <row r="133" spans="1:9" x14ac:dyDescent="0.2">
      <c r="A133" s="39"/>
      <c r="I133" s="39"/>
    </row>
    <row r="134" spans="1:9" x14ac:dyDescent="0.2">
      <c r="A134" s="39"/>
      <c r="I134" s="39"/>
    </row>
    <row r="135" spans="1:9" x14ac:dyDescent="0.2">
      <c r="A135" s="39"/>
      <c r="I135" s="39"/>
    </row>
    <row r="136" spans="1:9" x14ac:dyDescent="0.2">
      <c r="A136" s="39"/>
      <c r="I136" s="39"/>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EF5B3-9714-4316-B1C8-C2605C871DB1}">
  <sheetPr>
    <tabColor theme="8" tint="0.39997558519241921"/>
  </sheetPr>
  <dimension ref="A1:U68"/>
  <sheetViews>
    <sheetView tabSelected="1" view="pageBreakPreview" zoomScale="120" zoomScaleNormal="100" zoomScaleSheetLayoutView="120" workbookViewId="0">
      <selection activeCell="V7" sqref="V7"/>
    </sheetView>
  </sheetViews>
  <sheetFormatPr defaultColWidth="9.140625" defaultRowHeight="12.75" x14ac:dyDescent="0.2"/>
  <cols>
    <col min="1" max="1" width="12.28515625" style="190" customWidth="1"/>
    <col min="2" max="3" width="9.28515625" style="190" customWidth="1"/>
    <col min="4" max="4" width="13.5703125" style="190" customWidth="1"/>
    <col min="5" max="10" width="9.28515625" style="190" customWidth="1"/>
    <col min="11" max="11" width="9.85546875" style="190" bestFit="1" customWidth="1"/>
    <col min="12" max="16384" width="9.140625" style="190"/>
  </cols>
  <sheetData>
    <row r="1" spans="1:21" ht="15" x14ac:dyDescent="0.25">
      <c r="A1" s="243"/>
      <c r="B1" s="243"/>
      <c r="C1" s="243"/>
      <c r="D1" s="243"/>
      <c r="E1" s="243"/>
      <c r="F1" s="243"/>
      <c r="G1" s="243"/>
      <c r="H1" s="243"/>
      <c r="I1" s="243"/>
      <c r="J1" s="243"/>
      <c r="K1" s="243"/>
      <c r="M1" s="239" t="s">
        <v>848</v>
      </c>
    </row>
    <row r="2" spans="1:21" ht="14.45" customHeight="1" x14ac:dyDescent="0.2">
      <c r="A2" s="243"/>
      <c r="B2" s="243"/>
      <c r="C2" s="243"/>
      <c r="D2" s="243"/>
      <c r="E2" s="243"/>
      <c r="F2" s="243"/>
      <c r="G2" s="243"/>
      <c r="H2" s="243"/>
      <c r="I2" s="243"/>
      <c r="J2" s="243"/>
      <c r="K2" s="243"/>
      <c r="M2" s="248" t="s">
        <v>849</v>
      </c>
      <c r="N2" s="248"/>
      <c r="O2" s="248"/>
      <c r="P2" s="248"/>
      <c r="Q2" s="248"/>
      <c r="R2" s="248"/>
      <c r="S2" s="248"/>
      <c r="T2" s="248"/>
      <c r="U2" s="248"/>
    </row>
    <row r="3" spans="1:21" x14ac:dyDescent="0.2">
      <c r="A3" s="243"/>
      <c r="B3" s="243"/>
      <c r="C3" s="243"/>
      <c r="D3" s="243"/>
      <c r="E3" s="243"/>
      <c r="F3" s="243"/>
      <c r="G3" s="243"/>
      <c r="H3" s="243"/>
      <c r="I3" s="243"/>
      <c r="J3" s="243"/>
      <c r="K3" s="243"/>
      <c r="M3" s="248"/>
      <c r="N3" s="248"/>
      <c r="O3" s="248"/>
      <c r="P3" s="248"/>
      <c r="Q3" s="248"/>
      <c r="R3" s="248"/>
      <c r="S3" s="248"/>
      <c r="T3" s="248"/>
      <c r="U3" s="248"/>
    </row>
    <row r="4" spans="1:21" x14ac:dyDescent="0.2">
      <c r="A4" s="243"/>
      <c r="B4" s="243"/>
      <c r="C4" s="243"/>
      <c r="D4" s="243"/>
      <c r="E4" s="243"/>
      <c r="F4" s="243"/>
      <c r="G4" s="243"/>
      <c r="H4" s="243"/>
      <c r="I4" s="243"/>
      <c r="J4" s="243"/>
      <c r="K4" s="243"/>
      <c r="M4" s="248"/>
      <c r="N4" s="248"/>
      <c r="O4" s="248"/>
      <c r="P4" s="248"/>
      <c r="Q4" s="248"/>
      <c r="R4" s="248"/>
      <c r="S4" s="248"/>
      <c r="T4" s="248"/>
      <c r="U4" s="248"/>
    </row>
    <row r="5" spans="1:21" ht="12.75" customHeight="1" x14ac:dyDescent="0.2">
      <c r="A5" s="217" t="s">
        <v>130</v>
      </c>
      <c r="B5" s="244"/>
      <c r="C5" s="244"/>
      <c r="D5" s="244"/>
      <c r="E5" s="244"/>
      <c r="F5" s="244"/>
      <c r="G5" s="244"/>
      <c r="H5" s="244"/>
      <c r="I5" s="244"/>
      <c r="J5" s="244"/>
      <c r="K5" s="244"/>
      <c r="M5" s="248"/>
      <c r="N5" s="248"/>
      <c r="O5" s="248"/>
      <c r="P5" s="248"/>
      <c r="Q5" s="248"/>
      <c r="R5" s="248"/>
      <c r="S5" s="248"/>
      <c r="T5" s="248"/>
      <c r="U5" s="248"/>
    </row>
    <row r="6" spans="1:21" ht="14.45" customHeight="1" x14ac:dyDescent="0.2">
      <c r="A6" s="217" t="s">
        <v>819</v>
      </c>
      <c r="B6" s="244"/>
      <c r="C6" s="244"/>
      <c r="D6" s="217" t="s">
        <v>820</v>
      </c>
      <c r="E6" s="217"/>
      <c r="F6" s="217" t="s">
        <v>821</v>
      </c>
      <c r="G6" s="217"/>
      <c r="H6" s="244"/>
      <c r="I6" s="244"/>
      <c r="J6" s="244"/>
      <c r="K6" s="244"/>
      <c r="M6" s="248"/>
      <c r="N6" s="248"/>
      <c r="O6" s="248"/>
      <c r="P6" s="248"/>
      <c r="Q6" s="248"/>
      <c r="R6" s="248"/>
      <c r="S6" s="248"/>
      <c r="T6" s="248"/>
      <c r="U6" s="248"/>
    </row>
    <row r="7" spans="1:21" ht="12.75" customHeight="1" x14ac:dyDescent="0.2">
      <c r="A7" s="217" t="s">
        <v>822</v>
      </c>
      <c r="B7" s="244"/>
      <c r="C7" s="244"/>
      <c r="D7" s="244"/>
      <c r="E7" s="244"/>
      <c r="F7" s="244" t="s">
        <v>13</v>
      </c>
      <c r="G7" s="244"/>
      <c r="H7" s="244"/>
      <c r="I7" s="244"/>
      <c r="J7" s="244"/>
      <c r="K7" s="244"/>
      <c r="M7" s="248"/>
      <c r="N7" s="248"/>
      <c r="O7" s="248"/>
      <c r="P7" s="248"/>
      <c r="Q7" s="248"/>
      <c r="R7" s="248"/>
      <c r="S7" s="248"/>
      <c r="T7" s="248"/>
      <c r="U7" s="248"/>
    </row>
    <row r="8" spans="1:21" x14ac:dyDescent="0.2">
      <c r="A8" s="217" t="s">
        <v>823</v>
      </c>
      <c r="B8" s="244"/>
      <c r="C8" s="244"/>
      <c r="D8" s="244"/>
      <c r="E8" s="244"/>
      <c r="F8" s="244" t="s">
        <v>13</v>
      </c>
      <c r="G8" s="244"/>
      <c r="H8" s="244"/>
      <c r="I8" s="244"/>
      <c r="J8" s="244"/>
      <c r="K8" s="244"/>
      <c r="M8" s="248"/>
      <c r="N8" s="248"/>
      <c r="O8" s="248"/>
      <c r="P8" s="248"/>
      <c r="Q8" s="248"/>
      <c r="R8" s="248"/>
      <c r="S8" s="248"/>
      <c r="T8" s="248"/>
      <c r="U8" s="248"/>
    </row>
    <row r="9" spans="1:21" x14ac:dyDescent="0.2">
      <c r="A9" s="216"/>
      <c r="B9" s="216"/>
      <c r="C9" s="216"/>
      <c r="D9" s="216"/>
      <c r="E9" s="216"/>
      <c r="F9" s="216"/>
      <c r="G9" s="216"/>
      <c r="H9" s="216"/>
      <c r="I9" s="216"/>
      <c r="J9" s="216"/>
      <c r="K9" s="216"/>
      <c r="M9" s="248"/>
      <c r="N9" s="248"/>
      <c r="O9" s="248"/>
      <c r="P9" s="248"/>
      <c r="Q9" s="248"/>
      <c r="R9" s="248"/>
      <c r="S9" s="248"/>
      <c r="T9" s="248"/>
      <c r="U9" s="248"/>
    </row>
    <row r="10" spans="1:21" ht="18" x14ac:dyDescent="0.25">
      <c r="A10" s="191" t="s">
        <v>371</v>
      </c>
      <c r="M10" s="248"/>
      <c r="N10" s="248"/>
      <c r="O10" s="248"/>
      <c r="P10" s="248"/>
      <c r="Q10" s="248"/>
      <c r="R10" s="248"/>
      <c r="S10" s="248"/>
      <c r="T10" s="248"/>
      <c r="U10" s="248"/>
    </row>
    <row r="11" spans="1:21" x14ac:dyDescent="0.2">
      <c r="M11" s="248"/>
      <c r="N11" s="248"/>
      <c r="O11" s="248"/>
      <c r="P11" s="248"/>
      <c r="Q11" s="248"/>
      <c r="R11" s="248"/>
      <c r="S11" s="248"/>
      <c r="T11" s="248"/>
      <c r="U11" s="248"/>
    </row>
    <row r="12" spans="1:21" ht="18" x14ac:dyDescent="0.25">
      <c r="A12" s="206" t="s">
        <v>148</v>
      </c>
      <c r="B12" s="207"/>
      <c r="C12" s="207"/>
      <c r="D12" s="207"/>
      <c r="E12" s="207"/>
      <c r="F12" s="207"/>
      <c r="G12" s="207"/>
      <c r="H12" s="207"/>
      <c r="I12" s="207"/>
      <c r="J12" s="207"/>
      <c r="K12" s="207"/>
      <c r="M12" s="248"/>
      <c r="N12" s="248"/>
      <c r="O12" s="248"/>
      <c r="P12" s="248"/>
      <c r="Q12" s="248"/>
      <c r="R12" s="248"/>
      <c r="S12" s="248"/>
      <c r="T12" s="248"/>
      <c r="U12" s="248"/>
    </row>
    <row r="13" spans="1:21" x14ac:dyDescent="0.2">
      <c r="A13" s="192" t="s">
        <v>175</v>
      </c>
      <c r="B13" s="230" t="s">
        <v>372</v>
      </c>
      <c r="C13" s="194"/>
      <c r="D13" s="194"/>
      <c r="E13" s="194"/>
      <c r="F13" s="194"/>
      <c r="G13" s="194"/>
      <c r="H13" s="194"/>
      <c r="I13" s="194"/>
      <c r="J13" s="194"/>
      <c r="K13" s="194"/>
      <c r="M13" s="248"/>
      <c r="N13" s="248"/>
      <c r="O13" s="248"/>
      <c r="P13" s="248"/>
      <c r="Q13" s="248"/>
      <c r="R13" s="248"/>
      <c r="S13" s="248"/>
      <c r="T13" s="248"/>
      <c r="U13" s="248"/>
    </row>
    <row r="14" spans="1:21" ht="12.75" customHeight="1" x14ac:dyDescent="0.2">
      <c r="B14" s="247" t="s">
        <v>829</v>
      </c>
      <c r="C14" s="247"/>
      <c r="D14" s="247"/>
      <c r="E14" s="247"/>
      <c r="F14" s="247"/>
      <c r="G14" s="247"/>
      <c r="H14" s="247"/>
      <c r="I14" s="247"/>
      <c r="J14" s="247"/>
      <c r="K14" s="247"/>
      <c r="M14" s="248"/>
      <c r="N14" s="248"/>
      <c r="O14" s="248"/>
      <c r="P14" s="248"/>
      <c r="Q14" s="248"/>
      <c r="R14" s="248"/>
      <c r="S14" s="248"/>
      <c r="T14" s="248"/>
      <c r="U14" s="248"/>
    </row>
    <row r="15" spans="1:21" x14ac:dyDescent="0.2">
      <c r="B15" s="247"/>
      <c r="C15" s="247"/>
      <c r="D15" s="247"/>
      <c r="E15" s="247"/>
      <c r="F15" s="247"/>
      <c r="G15" s="247"/>
      <c r="H15" s="247"/>
      <c r="I15" s="247"/>
      <c r="J15" s="247"/>
      <c r="K15" s="247"/>
      <c r="M15" s="248"/>
      <c r="N15" s="248"/>
      <c r="O15" s="248"/>
      <c r="P15" s="248"/>
      <c r="Q15" s="248"/>
      <c r="R15" s="248"/>
      <c r="S15" s="248"/>
      <c r="T15" s="248"/>
      <c r="U15" s="248"/>
    </row>
    <row r="16" spans="1:21" x14ac:dyDescent="0.2">
      <c r="B16" s="224"/>
      <c r="C16" s="224"/>
      <c r="D16" s="224"/>
      <c r="E16" s="224"/>
      <c r="F16" s="224"/>
      <c r="G16" s="224"/>
      <c r="H16" s="224"/>
      <c r="I16" s="224"/>
      <c r="J16" s="224"/>
      <c r="K16" s="224"/>
      <c r="M16" s="248"/>
      <c r="N16" s="248"/>
      <c r="O16" s="248"/>
      <c r="P16" s="248"/>
      <c r="Q16" s="248"/>
      <c r="R16" s="248"/>
      <c r="S16" s="248"/>
      <c r="T16" s="248"/>
      <c r="U16" s="248"/>
    </row>
    <row r="17" spans="1:14" x14ac:dyDescent="0.2">
      <c r="A17" s="192" t="s">
        <v>373</v>
      </c>
      <c r="B17" s="197"/>
      <c r="C17" s="197"/>
      <c r="D17" s="197"/>
      <c r="N17" s="197" t="s">
        <v>374</v>
      </c>
    </row>
    <row r="18" spans="1:14" x14ac:dyDescent="0.2">
      <c r="A18" s="246"/>
      <c r="B18" s="246"/>
      <c r="C18" s="246"/>
      <c r="D18" s="246"/>
      <c r="E18" s="246"/>
      <c r="F18" s="246"/>
      <c r="G18" s="246"/>
      <c r="H18" s="246"/>
      <c r="I18" s="246"/>
      <c r="J18" s="246"/>
      <c r="K18" s="246"/>
    </row>
    <row r="19" spans="1:14" x14ac:dyDescent="0.2">
      <c r="A19" s="246"/>
      <c r="B19" s="246"/>
      <c r="C19" s="246"/>
      <c r="D19" s="246"/>
      <c r="E19" s="246"/>
      <c r="F19" s="246"/>
      <c r="G19" s="246"/>
      <c r="H19" s="246"/>
      <c r="I19" s="246"/>
      <c r="J19" s="246"/>
      <c r="K19" s="246"/>
    </row>
    <row r="20" spans="1:14" x14ac:dyDescent="0.2">
      <c r="A20" s="246"/>
      <c r="B20" s="246"/>
      <c r="C20" s="246"/>
      <c r="D20" s="246"/>
      <c r="E20" s="246"/>
      <c r="F20" s="246"/>
      <c r="G20" s="246"/>
      <c r="H20" s="246"/>
      <c r="I20" s="246"/>
      <c r="J20" s="246"/>
      <c r="K20" s="246"/>
    </row>
    <row r="21" spans="1:14" x14ac:dyDescent="0.2">
      <c r="A21" s="246"/>
      <c r="B21" s="246"/>
      <c r="C21" s="246"/>
      <c r="D21" s="246"/>
      <c r="E21" s="246"/>
      <c r="F21" s="246"/>
      <c r="G21" s="246"/>
      <c r="H21" s="246"/>
      <c r="I21" s="246"/>
      <c r="J21" s="246"/>
      <c r="K21" s="246"/>
    </row>
    <row r="22" spans="1:14" x14ac:dyDescent="0.2">
      <c r="A22" s="194"/>
    </row>
    <row r="23" spans="1:14" x14ac:dyDescent="0.2">
      <c r="A23" s="192" t="s">
        <v>811</v>
      </c>
    </row>
    <row r="24" spans="1:14" x14ac:dyDescent="0.2">
      <c r="A24" s="208" t="s">
        <v>842</v>
      </c>
    </row>
    <row r="25" spans="1:14" x14ac:dyDescent="0.2">
      <c r="A25" s="208" t="s">
        <v>843</v>
      </c>
    </row>
    <row r="26" spans="1:14" x14ac:dyDescent="0.2">
      <c r="A26" s="245" t="s">
        <v>847</v>
      </c>
      <c r="B26" s="245"/>
      <c r="C26" s="245"/>
      <c r="D26" s="245"/>
      <c r="E26" s="245"/>
      <c r="F26" s="245"/>
      <c r="G26" s="245"/>
      <c r="H26" s="245"/>
      <c r="I26" s="245"/>
      <c r="J26" s="245"/>
      <c r="K26" s="245"/>
    </row>
    <row r="27" spans="1:14" x14ac:dyDescent="0.2">
      <c r="A27" s="245"/>
      <c r="B27" s="245"/>
      <c r="C27" s="245"/>
      <c r="D27" s="245"/>
      <c r="E27" s="245"/>
      <c r="F27" s="245"/>
      <c r="G27" s="245"/>
      <c r="H27" s="245"/>
      <c r="I27" s="245"/>
      <c r="J27" s="245"/>
      <c r="K27" s="245"/>
    </row>
    <row r="28" spans="1:14" x14ac:dyDescent="0.2">
      <c r="A28" s="245" t="s">
        <v>812</v>
      </c>
      <c r="B28" s="245"/>
      <c r="C28" s="245"/>
      <c r="D28" s="245"/>
      <c r="E28" s="245"/>
      <c r="F28" s="245"/>
      <c r="G28" s="245"/>
      <c r="H28" s="245"/>
      <c r="I28" s="245"/>
      <c r="J28" s="245"/>
      <c r="K28" s="245"/>
    </row>
    <row r="29" spans="1:14" x14ac:dyDescent="0.2">
      <c r="A29" s="245"/>
      <c r="B29" s="245"/>
      <c r="C29" s="245"/>
      <c r="D29" s="245"/>
      <c r="E29" s="245"/>
      <c r="F29" s="245"/>
      <c r="G29" s="245"/>
      <c r="H29" s="245"/>
      <c r="I29" s="245"/>
      <c r="J29" s="245"/>
      <c r="K29" s="245"/>
    </row>
    <row r="30" spans="1:14" ht="12.75" customHeight="1" x14ac:dyDescent="0.2">
      <c r="A30" s="245" t="s">
        <v>831</v>
      </c>
      <c r="B30" s="245"/>
      <c r="C30" s="245"/>
      <c r="D30" s="245"/>
      <c r="E30" s="245"/>
      <c r="F30" s="245"/>
      <c r="G30" s="245"/>
      <c r="H30" s="245"/>
      <c r="I30" s="245"/>
      <c r="J30" s="245"/>
      <c r="K30" s="245"/>
    </row>
    <row r="31" spans="1:14" ht="12.75" customHeight="1" x14ac:dyDescent="0.2">
      <c r="A31" s="245" t="s">
        <v>841</v>
      </c>
      <c r="B31" s="245"/>
      <c r="C31" s="245"/>
      <c r="D31" s="245"/>
      <c r="E31" s="245"/>
      <c r="F31" s="245"/>
      <c r="G31" s="245"/>
      <c r="H31" s="245"/>
      <c r="I31" s="245"/>
      <c r="J31" s="245"/>
      <c r="K31" s="245"/>
    </row>
    <row r="32" spans="1:14" x14ac:dyDescent="0.2">
      <c r="A32" s="209"/>
      <c r="B32" s="209"/>
      <c r="C32" s="209"/>
      <c r="D32" s="209"/>
      <c r="E32" s="209"/>
      <c r="F32" s="209"/>
      <c r="G32" s="209"/>
      <c r="H32" s="209"/>
      <c r="I32" s="229"/>
      <c r="J32" s="209"/>
      <c r="K32" s="209"/>
    </row>
    <row r="33" spans="1:21" x14ac:dyDescent="0.2">
      <c r="A33" s="231" t="s">
        <v>828</v>
      </c>
      <c r="B33" s="209"/>
      <c r="C33" s="209"/>
      <c r="D33" s="209"/>
      <c r="E33" s="209"/>
      <c r="F33" s="209"/>
      <c r="G33" s="209"/>
      <c r="H33" s="209"/>
      <c r="I33" s="209"/>
      <c r="J33" s="209"/>
      <c r="K33" s="209"/>
    </row>
    <row r="34" spans="1:21" ht="15.75" x14ac:dyDescent="0.3">
      <c r="A34" s="223" t="s">
        <v>375</v>
      </c>
      <c r="B34" s="194" t="s">
        <v>184</v>
      </c>
      <c r="C34" s="194" t="s">
        <v>376</v>
      </c>
      <c r="D34" s="194"/>
    </row>
    <row r="35" spans="1:21" x14ac:dyDescent="0.2">
      <c r="A35" s="223" t="s">
        <v>250</v>
      </c>
      <c r="B35" s="190" t="s">
        <v>184</v>
      </c>
      <c r="C35" s="194" t="s">
        <v>824</v>
      </c>
      <c r="D35" s="194"/>
    </row>
    <row r="36" spans="1:21" ht="15.75" x14ac:dyDescent="0.3">
      <c r="A36" s="223" t="s">
        <v>378</v>
      </c>
      <c r="B36" s="190" t="s">
        <v>184</v>
      </c>
      <c r="C36" s="194" t="s">
        <v>826</v>
      </c>
    </row>
    <row r="38" spans="1:21" ht="13.5" customHeight="1" x14ac:dyDescent="0.2">
      <c r="A38" s="232" t="s">
        <v>832</v>
      </c>
      <c r="C38" s="194"/>
      <c r="D38" s="194"/>
      <c r="M38" s="249" t="s">
        <v>836</v>
      </c>
      <c r="N38" s="249"/>
      <c r="O38" s="249"/>
      <c r="P38" s="249"/>
      <c r="Q38" s="249"/>
      <c r="R38" s="249"/>
      <c r="S38" s="249"/>
      <c r="T38" s="249"/>
      <c r="U38" s="249"/>
    </row>
    <row r="39" spans="1:21" ht="15.75" customHeight="1" x14ac:dyDescent="0.3">
      <c r="A39" s="218" t="s">
        <v>377</v>
      </c>
      <c r="B39" s="190" t="s">
        <v>184</v>
      </c>
      <c r="C39" s="194" t="s">
        <v>825</v>
      </c>
      <c r="D39" s="194"/>
      <c r="M39" s="249"/>
      <c r="N39" s="249"/>
      <c r="O39" s="249"/>
      <c r="P39" s="249"/>
      <c r="Q39" s="249"/>
      <c r="R39" s="249"/>
      <c r="S39" s="249"/>
      <c r="T39" s="249"/>
      <c r="U39" s="249"/>
    </row>
    <row r="40" spans="1:21" ht="15.75" x14ac:dyDescent="0.3">
      <c r="A40" s="218" t="s">
        <v>813</v>
      </c>
      <c r="B40" s="190" t="s">
        <v>184</v>
      </c>
      <c r="C40" s="194" t="s">
        <v>827</v>
      </c>
      <c r="D40" s="194"/>
    </row>
    <row r="41" spans="1:21" ht="18" x14ac:dyDescent="0.2">
      <c r="A41" s="226" t="s">
        <v>833</v>
      </c>
      <c r="B41" s="194" t="s">
        <v>184</v>
      </c>
      <c r="C41" s="194" t="s">
        <v>839</v>
      </c>
      <c r="D41" s="194"/>
    </row>
    <row r="42" spans="1:21" ht="15" x14ac:dyDescent="0.25">
      <c r="A42" s="236" t="s">
        <v>837</v>
      </c>
      <c r="B42" s="194"/>
      <c r="C42" s="194" t="s">
        <v>840</v>
      </c>
      <c r="D42" s="194"/>
    </row>
    <row r="43" spans="1:21" ht="18" x14ac:dyDescent="0.25">
      <c r="A43" s="206" t="s">
        <v>371</v>
      </c>
      <c r="B43" s="207"/>
      <c r="C43" s="207"/>
      <c r="D43" s="207"/>
      <c r="E43" s="207"/>
      <c r="F43" s="207"/>
      <c r="G43" s="207"/>
      <c r="H43" s="207"/>
      <c r="I43" s="207"/>
      <c r="J43" s="207"/>
      <c r="K43" s="207"/>
    </row>
    <row r="44" spans="1:21" x14ac:dyDescent="0.2">
      <c r="B44" s="237" t="s">
        <v>844</v>
      </c>
      <c r="C44" s="237" t="s">
        <v>845</v>
      </c>
      <c r="D44" s="237" t="s">
        <v>845</v>
      </c>
      <c r="E44" s="237" t="s">
        <v>845</v>
      </c>
    </row>
    <row r="45" spans="1:21" x14ac:dyDescent="0.2">
      <c r="B45" s="238" t="s">
        <v>846</v>
      </c>
      <c r="C45" s="238" t="s">
        <v>846</v>
      </c>
      <c r="D45" s="238" t="s">
        <v>846</v>
      </c>
      <c r="E45" s="238" t="s">
        <v>846</v>
      </c>
      <c r="G45" s="193" t="s">
        <v>810</v>
      </c>
    </row>
    <row r="46" spans="1:21" ht="15.75" x14ac:dyDescent="0.3">
      <c r="A46" s="195" t="s">
        <v>375</v>
      </c>
      <c r="B46" s="219">
        <v>62.5</v>
      </c>
      <c r="C46" s="219"/>
      <c r="D46" s="219"/>
      <c r="E46" s="219"/>
      <c r="F46" s="194" t="s">
        <v>184</v>
      </c>
      <c r="G46" s="201" t="s">
        <v>830</v>
      </c>
    </row>
    <row r="47" spans="1:21" x14ac:dyDescent="0.2">
      <c r="A47" s="203" t="s">
        <v>250</v>
      </c>
      <c r="B47" s="220">
        <v>23.9</v>
      </c>
      <c r="C47" s="220"/>
      <c r="D47" s="220"/>
      <c r="E47" s="220"/>
      <c r="F47" s="190" t="s">
        <v>184</v>
      </c>
      <c r="G47" s="194"/>
    </row>
    <row r="48" spans="1:21" ht="15.75" x14ac:dyDescent="0.3">
      <c r="A48" s="195" t="s">
        <v>378</v>
      </c>
      <c r="B48" s="220">
        <v>1.7</v>
      </c>
      <c r="C48" s="220"/>
      <c r="D48" s="220"/>
      <c r="E48" s="220"/>
      <c r="F48" s="190" t="s">
        <v>184</v>
      </c>
      <c r="G48" s="194"/>
    </row>
    <row r="49" spans="1:13" ht="3" customHeight="1" x14ac:dyDescent="0.2">
      <c r="A49" s="195"/>
      <c r="B49" s="212"/>
      <c r="C49" s="212"/>
      <c r="D49" s="212"/>
      <c r="E49" s="212"/>
      <c r="F49" s="194"/>
      <c r="G49" s="194"/>
    </row>
    <row r="50" spans="1:13" x14ac:dyDescent="0.2">
      <c r="A50" s="195"/>
      <c r="B50" s="220"/>
      <c r="C50" s="213" t="s">
        <v>816</v>
      </c>
      <c r="D50" s="212"/>
      <c r="E50" s="212"/>
      <c r="F50" s="194"/>
      <c r="G50" s="194"/>
    </row>
    <row r="51" spans="1:13" ht="3" customHeight="1" x14ac:dyDescent="0.2">
      <c r="A51" s="195"/>
      <c r="B51" s="212"/>
      <c r="C51" s="213"/>
      <c r="D51" s="212"/>
      <c r="E51" s="212"/>
      <c r="F51" s="194"/>
      <c r="G51" s="194"/>
    </row>
    <row r="52" spans="1:13" x14ac:dyDescent="0.2">
      <c r="A52" s="214" t="s">
        <v>815</v>
      </c>
      <c r="D52" s="194"/>
      <c r="E52" s="194"/>
      <c r="G52" s="194"/>
    </row>
    <row r="53" spans="1:13" ht="15.75" x14ac:dyDescent="0.3">
      <c r="A53" s="195" t="s">
        <v>379</v>
      </c>
      <c r="B53" s="205">
        <f t="shared" ref="B53:E54" si="0">B46/B47</f>
        <v>2.6150627615062763</v>
      </c>
      <c r="C53" s="205" t="e">
        <f t="shared" si="0"/>
        <v>#DIV/0!</v>
      </c>
      <c r="D53" s="205" t="e">
        <f t="shared" si="0"/>
        <v>#DIV/0!</v>
      </c>
      <c r="E53" s="205" t="e">
        <f t="shared" si="0"/>
        <v>#DIV/0!</v>
      </c>
      <c r="F53" s="204"/>
    </row>
    <row r="54" spans="1:13" ht="15.75" x14ac:dyDescent="0.3">
      <c r="A54" s="195" t="s">
        <v>835</v>
      </c>
      <c r="B54" s="205">
        <f t="shared" si="0"/>
        <v>14.058823529411764</v>
      </c>
      <c r="C54" s="205" t="e">
        <f t="shared" si="0"/>
        <v>#DIV/0!</v>
      </c>
      <c r="D54" s="205" t="e">
        <f t="shared" si="0"/>
        <v>#DIV/0!</v>
      </c>
      <c r="E54" s="205" t="e">
        <f t="shared" si="0"/>
        <v>#DIV/0!</v>
      </c>
      <c r="F54" s="204"/>
      <c r="M54" s="200"/>
    </row>
    <row r="55" spans="1:13" ht="12.75" customHeight="1" x14ac:dyDescent="0.2">
      <c r="B55" s="211"/>
      <c r="C55" s="211"/>
      <c r="D55" s="211"/>
      <c r="E55" s="211"/>
      <c r="F55" s="211"/>
      <c r="G55" s="211"/>
      <c r="H55" s="233"/>
      <c r="I55" s="211"/>
      <c r="J55" s="211"/>
      <c r="K55" s="211"/>
    </row>
    <row r="56" spans="1:13" ht="12.75" customHeight="1" x14ac:dyDescent="0.2">
      <c r="A56" s="250" t="s">
        <v>817</v>
      </c>
      <c r="B56" s="250"/>
      <c r="C56" s="250"/>
      <c r="D56" s="250"/>
      <c r="E56" s="250"/>
      <c r="F56" s="211"/>
      <c r="G56" s="215"/>
      <c r="H56" s="211"/>
      <c r="I56" s="211"/>
      <c r="J56" s="211"/>
      <c r="K56" s="211"/>
    </row>
    <row r="57" spans="1:13" ht="15.75" x14ac:dyDescent="0.3">
      <c r="A57" s="195" t="s">
        <v>379</v>
      </c>
      <c r="B57" s="205" t="b">
        <f>AND(B53&gt;1.5,B53&lt;10)</f>
        <v>1</v>
      </c>
      <c r="C57" s="205" t="e">
        <f>AND(C53&gt;1.5,C53&lt;10)</f>
        <v>#DIV/0!</v>
      </c>
      <c r="D57" s="205" t="e">
        <f t="shared" ref="D57:E57" si="1">AND(D53&gt;1.5,D53&lt;10)</f>
        <v>#DIV/0!</v>
      </c>
      <c r="E57" s="205" t="e">
        <f t="shared" si="1"/>
        <v>#DIV/0!</v>
      </c>
      <c r="G57" s="234"/>
    </row>
    <row r="58" spans="1:13" x14ac:dyDescent="0.2">
      <c r="A58" s="195" t="s">
        <v>814</v>
      </c>
      <c r="B58" s="205">
        <f>IF(AND(B57=TRUE,B60=TRUE),B53,1.5)</f>
        <v>1.5</v>
      </c>
      <c r="C58" s="205" t="e">
        <f t="shared" ref="C58:D58" si="2">IF(AND(C57=TRUE,C60=TRUE),C53,1.5)</f>
        <v>#DIV/0!</v>
      </c>
      <c r="D58" s="205" t="e">
        <f t="shared" si="2"/>
        <v>#DIV/0!</v>
      </c>
      <c r="E58" s="205" t="e">
        <f>IF(AND(E57=TRUE,E60=TRUE),E53,1.5)</f>
        <v>#DIV/0!</v>
      </c>
    </row>
    <row r="59" spans="1:13" x14ac:dyDescent="0.2">
      <c r="A59" s="195"/>
      <c r="B59" s="210"/>
      <c r="C59" s="210"/>
      <c r="D59" s="210"/>
      <c r="E59" s="210"/>
    </row>
    <row r="60" spans="1:13" ht="15.75" x14ac:dyDescent="0.3">
      <c r="A60" s="195" t="s">
        <v>835</v>
      </c>
      <c r="B60" s="205" t="b">
        <f>AND(B54&gt;20,B54&lt;125)</f>
        <v>0</v>
      </c>
      <c r="C60" s="205" t="e">
        <f t="shared" ref="C60:E60" si="3">AND(C54&gt;20,C54&lt;125)</f>
        <v>#DIV/0!</v>
      </c>
      <c r="D60" s="205" t="e">
        <f t="shared" si="3"/>
        <v>#DIV/0!</v>
      </c>
      <c r="E60" s="205" t="e">
        <f t="shared" si="3"/>
        <v>#DIV/0!</v>
      </c>
      <c r="G60" s="194"/>
    </row>
    <row r="61" spans="1:13" x14ac:dyDescent="0.2">
      <c r="A61" s="195" t="s">
        <v>814</v>
      </c>
      <c r="B61" s="205">
        <f>IF(AND(B57=TRUE,B60=TRUE),B54,20)</f>
        <v>20</v>
      </c>
      <c r="C61" s="205" t="e">
        <f t="shared" ref="C61:E61" si="4">IF(AND(C57=TRUE,C60=TRUE),C54,20)</f>
        <v>#DIV/0!</v>
      </c>
      <c r="D61" s="205" t="e">
        <f t="shared" si="4"/>
        <v>#DIV/0!</v>
      </c>
      <c r="E61" s="205" t="e">
        <f t="shared" si="4"/>
        <v>#DIV/0!</v>
      </c>
    </row>
    <row r="62" spans="1:13" x14ac:dyDescent="0.2">
      <c r="A62" s="195"/>
      <c r="B62" s="210"/>
      <c r="C62" s="210"/>
      <c r="D62" s="210"/>
      <c r="E62" s="210"/>
    </row>
    <row r="63" spans="1:13" x14ac:dyDescent="0.2">
      <c r="A63" s="225" t="s">
        <v>380</v>
      </c>
      <c r="B63" s="221">
        <f>(1.8-0.051*B58+0.0084*B61)*B48</f>
        <v>3.2155499999999999</v>
      </c>
      <c r="C63" s="221" t="e">
        <f>(1.8-0.051*C58+0.0084*C61)*C48</f>
        <v>#DIV/0!</v>
      </c>
      <c r="D63" s="221" t="e">
        <f>(1.8-0.051*D58+0.0084*D61)*D48</f>
        <v>#DIV/0!</v>
      </c>
      <c r="E63" s="221" t="e">
        <f>(1.8-0.051*E58+0.0084*E61)*E48</f>
        <v>#DIV/0!</v>
      </c>
      <c r="F63" s="194" t="s">
        <v>184</v>
      </c>
      <c r="G63" s="202"/>
    </row>
    <row r="64" spans="1:13" ht="13.5" thickBot="1" x14ac:dyDescent="0.25">
      <c r="A64" s="196"/>
      <c r="B64" s="197"/>
      <c r="C64" s="194"/>
    </row>
    <row r="65" spans="1:9" ht="15" thickBot="1" x14ac:dyDescent="0.3">
      <c r="A65" s="198" t="s">
        <v>818</v>
      </c>
      <c r="B65" s="222">
        <f>B63-B48</f>
        <v>1.51555</v>
      </c>
      <c r="C65" s="222" t="e">
        <f>C63-C48</f>
        <v>#DIV/0!</v>
      </c>
      <c r="D65" s="222" t="e">
        <f>D63-D48</f>
        <v>#DIV/0!</v>
      </c>
      <c r="E65" s="222" t="e">
        <f>E63-E48</f>
        <v>#DIV/0!</v>
      </c>
      <c r="F65" s="199" t="s">
        <v>184</v>
      </c>
      <c r="H65" s="198" t="s">
        <v>838</v>
      </c>
      <c r="I65" s="235">
        <v>1.08</v>
      </c>
    </row>
    <row r="66" spans="1:9" x14ac:dyDescent="0.2">
      <c r="A66" s="241"/>
      <c r="B66" s="241"/>
      <c r="C66" s="241"/>
      <c r="D66" s="241"/>
      <c r="E66" s="241"/>
      <c r="F66" s="241"/>
    </row>
    <row r="67" spans="1:9" ht="13.5" thickBot="1" x14ac:dyDescent="0.25">
      <c r="A67" s="242"/>
      <c r="B67" s="242"/>
      <c r="C67" s="242"/>
      <c r="D67" s="242"/>
      <c r="E67" s="242"/>
      <c r="F67" s="242"/>
    </row>
    <row r="68" spans="1:9" ht="15" thickBot="1" x14ac:dyDescent="0.3">
      <c r="A68" s="227" t="s">
        <v>834</v>
      </c>
      <c r="B68" s="228">
        <f>(B63*$I$65)-B48</f>
        <v>1.772794</v>
      </c>
      <c r="C68" s="228" t="e">
        <f t="shared" ref="C68:D68" si="5">(C63*$I$65)-C48</f>
        <v>#DIV/0!</v>
      </c>
      <c r="D68" s="228" t="e">
        <f t="shared" si="5"/>
        <v>#DIV/0!</v>
      </c>
      <c r="E68" s="228" t="e">
        <f>(E63*$I$65)-E48</f>
        <v>#DIV/0!</v>
      </c>
      <c r="F68" s="199" t="s">
        <v>184</v>
      </c>
    </row>
  </sheetData>
  <mergeCells count="20">
    <mergeCell ref="M2:U16"/>
    <mergeCell ref="M38:U39"/>
    <mergeCell ref="A28:K29"/>
    <mergeCell ref="A56:E56"/>
    <mergeCell ref="A30:K30"/>
    <mergeCell ref="A31:K31"/>
    <mergeCell ref="A66:F67"/>
    <mergeCell ref="A1:K4"/>
    <mergeCell ref="B5:K5"/>
    <mergeCell ref="B7:E7"/>
    <mergeCell ref="B8:E8"/>
    <mergeCell ref="F7:G7"/>
    <mergeCell ref="A26:K27"/>
    <mergeCell ref="F8:G8"/>
    <mergeCell ref="H7:K7"/>
    <mergeCell ref="H8:K8"/>
    <mergeCell ref="H6:K6"/>
    <mergeCell ref="B6:C6"/>
    <mergeCell ref="A18:K21"/>
    <mergeCell ref="B14:K15"/>
  </mergeCells>
  <conditionalFormatting sqref="B57:E57">
    <cfRule type="cellIs" dxfId="3" priority="3" operator="equal">
      <formula>FALSE</formula>
    </cfRule>
    <cfRule type="cellIs" dxfId="2" priority="4" operator="equal">
      <formula>TRUE</formula>
    </cfRule>
  </conditionalFormatting>
  <conditionalFormatting sqref="B60:E60">
    <cfRule type="cellIs" dxfId="1" priority="1" operator="equal">
      <formula>FALSE</formula>
    </cfRule>
    <cfRule type="cellIs" dxfId="0" priority="2" operator="equal">
      <formula>TRUE</formula>
    </cfRule>
  </conditionalFormatting>
  <pageMargins left="1" right="1" top="1" bottom="1" header="0.5" footer="0.5"/>
  <pageSetup scale="71" orientation="portrait" r:id="rId1"/>
  <headerFooter alignWithMargins="0">
    <oddFooter>&amp;R&amp;F
&amp;A
&amp;D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sheetPr>
  <dimension ref="A1:O103"/>
  <sheetViews>
    <sheetView topLeftCell="A25" workbookViewId="0">
      <selection activeCell="B50" sqref="B50"/>
    </sheetView>
  </sheetViews>
  <sheetFormatPr defaultRowHeight="12.75" x14ac:dyDescent="0.2"/>
  <cols>
    <col min="1" max="1" width="16.5703125" customWidth="1"/>
    <col min="2" max="2" width="10.140625" customWidth="1"/>
    <col min="3" max="6" width="9.7109375" customWidth="1"/>
    <col min="7" max="7" width="13.140625" bestFit="1" customWidth="1"/>
    <col min="8" max="9" width="5" bestFit="1" customWidth="1"/>
    <col min="10" max="12" width="7.710937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138</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426</v>
      </c>
    </row>
    <row r="7" spans="1:10" ht="18" x14ac:dyDescent="0.25">
      <c r="A7" s="10" t="s">
        <v>148</v>
      </c>
    </row>
    <row r="9" spans="1:10" x14ac:dyDescent="0.2">
      <c r="A9" s="9" t="s">
        <v>175</v>
      </c>
      <c r="B9" s="11" t="s">
        <v>427</v>
      </c>
    </row>
    <row r="10" spans="1:10" x14ac:dyDescent="0.2">
      <c r="B10" s="11" t="s">
        <v>177</v>
      </c>
    </row>
    <row r="11" spans="1:10" x14ac:dyDescent="0.2">
      <c r="B11" s="11" t="s">
        <v>428</v>
      </c>
    </row>
    <row r="12" spans="1:10" x14ac:dyDescent="0.2">
      <c r="C12" s="11" t="s">
        <v>429</v>
      </c>
    </row>
    <row r="13" spans="1:10" x14ac:dyDescent="0.2">
      <c r="C13" s="11"/>
    </row>
    <row r="14" spans="1:10" x14ac:dyDescent="0.2">
      <c r="A14" t="s">
        <v>430</v>
      </c>
    </row>
    <row r="15" spans="1:10" ht="15.75" x14ac:dyDescent="0.3">
      <c r="A15" t="s">
        <v>431</v>
      </c>
    </row>
    <row r="17" spans="1:5" ht="15.75" x14ac:dyDescent="0.3">
      <c r="A17" s="100" t="s">
        <v>220</v>
      </c>
      <c r="B17" t="s">
        <v>184</v>
      </c>
      <c r="C17" t="s">
        <v>432</v>
      </c>
    </row>
    <row r="18" spans="1:5" ht="15.75" x14ac:dyDescent="0.3">
      <c r="A18" s="100" t="s">
        <v>306</v>
      </c>
      <c r="C18" t="s">
        <v>433</v>
      </c>
    </row>
    <row r="19" spans="1:5" ht="15.75" x14ac:dyDescent="0.3">
      <c r="A19" s="100" t="s">
        <v>308</v>
      </c>
      <c r="C19" t="s">
        <v>434</v>
      </c>
    </row>
    <row r="20" spans="1:5" ht="15.75" x14ac:dyDescent="0.3">
      <c r="A20" s="100" t="s">
        <v>435</v>
      </c>
      <c r="C20" t="s">
        <v>436</v>
      </c>
    </row>
    <row r="21" spans="1:5" x14ac:dyDescent="0.2">
      <c r="A21" s="100" t="s">
        <v>437</v>
      </c>
      <c r="B21" t="s">
        <v>184</v>
      </c>
      <c r="C21" t="s">
        <v>438</v>
      </c>
    </row>
    <row r="22" spans="1:5" ht="15.75" x14ac:dyDescent="0.3">
      <c r="A22" s="100" t="s">
        <v>216</v>
      </c>
      <c r="B22" t="s">
        <v>184</v>
      </c>
      <c r="C22" t="s">
        <v>439</v>
      </c>
    </row>
    <row r="23" spans="1:5" ht="15.75" x14ac:dyDescent="0.3">
      <c r="A23" s="100" t="s">
        <v>369</v>
      </c>
      <c r="C23" t="s">
        <v>440</v>
      </c>
    </row>
    <row r="24" spans="1:5" ht="15.75" x14ac:dyDescent="0.3">
      <c r="A24" s="100" t="s">
        <v>441</v>
      </c>
      <c r="B24" t="s">
        <v>181</v>
      </c>
      <c r="C24" t="s">
        <v>442</v>
      </c>
    </row>
    <row r="26" spans="1:5" ht="13.5" thickBot="1" x14ac:dyDescent="0.25"/>
    <row r="27" spans="1:5" x14ac:dyDescent="0.2">
      <c r="B27" s="30" t="s">
        <v>443</v>
      </c>
      <c r="C27" s="31" t="s">
        <v>444</v>
      </c>
      <c r="D27" s="32"/>
      <c r="E27" s="33"/>
    </row>
    <row r="28" spans="1:5" ht="13.5" thickBot="1" x14ac:dyDescent="0.25">
      <c r="B28" s="34">
        <v>2</v>
      </c>
      <c r="C28" s="35">
        <v>0.65</v>
      </c>
      <c r="D28" s="13">
        <v>0.35</v>
      </c>
      <c r="E28" s="36">
        <v>0.43</v>
      </c>
    </row>
    <row r="30" spans="1:5" ht="18" x14ac:dyDescent="0.25">
      <c r="A30" s="10" t="s">
        <v>426</v>
      </c>
    </row>
    <row r="31" spans="1:5" ht="18" x14ac:dyDescent="0.25">
      <c r="A31" s="89" t="s">
        <v>445</v>
      </c>
    </row>
    <row r="33" spans="1:10" x14ac:dyDescent="0.2">
      <c r="A33" s="9" t="s">
        <v>175</v>
      </c>
      <c r="B33" s="11" t="s">
        <v>446</v>
      </c>
    </row>
    <row r="34" spans="1:10" x14ac:dyDescent="0.2">
      <c r="B34" s="11" t="s">
        <v>276</v>
      </c>
    </row>
    <row r="35" spans="1:10" x14ac:dyDescent="0.2">
      <c r="B35" s="11" t="s">
        <v>428</v>
      </c>
    </row>
    <row r="36" spans="1:10" x14ac:dyDescent="0.2">
      <c r="C36" s="11" t="s">
        <v>429</v>
      </c>
    </row>
    <row r="38" spans="1:10" x14ac:dyDescent="0.2">
      <c r="A38" s="1" t="s">
        <v>193</v>
      </c>
      <c r="B38" s="86" t="s">
        <v>447</v>
      </c>
      <c r="C38" s="5"/>
      <c r="D38" s="5"/>
      <c r="E38" s="5"/>
      <c r="F38" s="5"/>
    </row>
    <row r="39" spans="1:10" x14ac:dyDescent="0.2">
      <c r="A39" s="1" t="s">
        <v>195</v>
      </c>
      <c r="B39" s="88" t="s">
        <v>448</v>
      </c>
      <c r="C39" s="16"/>
      <c r="D39" s="16"/>
      <c r="E39" s="16"/>
      <c r="F39" s="16"/>
    </row>
    <row r="40" spans="1:10" x14ac:dyDescent="0.2">
      <c r="A40" s="1" t="s">
        <v>236</v>
      </c>
      <c r="B40" s="92" t="s">
        <v>449</v>
      </c>
      <c r="C40" s="121"/>
      <c r="D40" s="121"/>
      <c r="E40" s="121"/>
      <c r="F40" s="16"/>
    </row>
    <row r="41" spans="1:10" x14ac:dyDescent="0.2">
      <c r="A41" s="1" t="s">
        <v>237</v>
      </c>
      <c r="B41" s="88" t="s">
        <v>450</v>
      </c>
      <c r="C41" s="16"/>
      <c r="D41" s="16"/>
      <c r="E41" s="16"/>
      <c r="F41" s="16"/>
    </row>
    <row r="42" spans="1:10" x14ac:dyDescent="0.2">
      <c r="A42" s="1" t="s">
        <v>451</v>
      </c>
      <c r="B42" s="86" t="s">
        <v>452</v>
      </c>
      <c r="C42" s="5"/>
      <c r="D42" s="5"/>
      <c r="E42" s="5"/>
      <c r="F42" s="5"/>
      <c r="G42" s="5"/>
    </row>
    <row r="43" spans="1:10" ht="13.5" thickBot="1" x14ac:dyDescent="0.25">
      <c r="A43" s="8"/>
      <c r="B43" s="8"/>
      <c r="C43" s="8"/>
      <c r="D43" s="8"/>
      <c r="E43" s="8"/>
      <c r="F43" s="8"/>
      <c r="G43" s="8"/>
      <c r="H43" s="8"/>
      <c r="I43" s="8"/>
      <c r="J43" s="8"/>
    </row>
    <row r="44" spans="1:10" x14ac:dyDescent="0.2">
      <c r="A44" s="1" t="s">
        <v>257</v>
      </c>
      <c r="B44" s="91"/>
      <c r="C44" s="5"/>
      <c r="D44" s="5"/>
    </row>
    <row r="45" spans="1:10" x14ac:dyDescent="0.2">
      <c r="A45" s="1" t="s">
        <v>258</v>
      </c>
      <c r="B45" s="92"/>
      <c r="C45" s="16"/>
      <c r="D45" s="16"/>
    </row>
    <row r="46" spans="1:10" x14ac:dyDescent="0.2">
      <c r="A46" s="1"/>
    </row>
    <row r="47" spans="1:10" x14ac:dyDescent="0.2">
      <c r="A47" s="1"/>
      <c r="D47" s="9" t="s">
        <v>201</v>
      </c>
    </row>
    <row r="48" spans="1:10" ht="15.75" x14ac:dyDescent="0.3">
      <c r="A48" s="175" t="s">
        <v>220</v>
      </c>
      <c r="B48" s="20"/>
    </row>
    <row r="49" spans="1:10" ht="15.75" x14ac:dyDescent="0.3">
      <c r="A49" s="175" t="s">
        <v>306</v>
      </c>
      <c r="B49" s="96">
        <v>1</v>
      </c>
      <c r="D49" t="s">
        <v>453</v>
      </c>
    </row>
    <row r="50" spans="1:10" ht="15.75" x14ac:dyDescent="0.3">
      <c r="A50" s="175" t="s">
        <v>308</v>
      </c>
      <c r="B50" s="96">
        <v>1.8</v>
      </c>
      <c r="D50" s="39" t="s">
        <v>454</v>
      </c>
    </row>
    <row r="51" spans="1:10" ht="15.75" x14ac:dyDescent="0.3">
      <c r="A51" s="175" t="s">
        <v>435</v>
      </c>
      <c r="B51" s="96">
        <v>1.1000000000000001</v>
      </c>
      <c r="D51" t="s">
        <v>455</v>
      </c>
    </row>
    <row r="52" spans="1:10" x14ac:dyDescent="0.2">
      <c r="A52" s="175" t="s">
        <v>437</v>
      </c>
      <c r="B52" s="97">
        <v>6.5</v>
      </c>
      <c r="C52" t="s">
        <v>184</v>
      </c>
      <c r="G52" s="37"/>
      <c r="H52" s="37"/>
      <c r="I52" s="37"/>
    </row>
    <row r="53" spans="1:10" ht="15.75" x14ac:dyDescent="0.3">
      <c r="A53" s="175" t="s">
        <v>216</v>
      </c>
      <c r="B53" s="97">
        <v>9.34</v>
      </c>
      <c r="C53" t="s">
        <v>456</v>
      </c>
      <c r="D53" s="39" t="s">
        <v>457</v>
      </c>
      <c r="F53" s="37"/>
      <c r="G53" s="38"/>
      <c r="H53" s="37"/>
    </row>
    <row r="54" spans="1:10" ht="14.25" x14ac:dyDescent="0.2">
      <c r="A54" s="175" t="s">
        <v>214</v>
      </c>
      <c r="B54" s="108">
        <v>32.200000000000003</v>
      </c>
      <c r="C54" s="39" t="s">
        <v>215</v>
      </c>
      <c r="F54" s="37"/>
      <c r="G54" s="38"/>
      <c r="H54" s="37"/>
      <c r="I54" s="37"/>
    </row>
    <row r="55" spans="1:10" ht="15.75" x14ac:dyDescent="0.3">
      <c r="A55" s="175" t="s">
        <v>441</v>
      </c>
      <c r="B55" s="99">
        <v>10.49</v>
      </c>
      <c r="C55" t="s">
        <v>181</v>
      </c>
      <c r="D55" t="s">
        <v>457</v>
      </c>
      <c r="F55" s="37"/>
      <c r="G55" s="38"/>
      <c r="H55" s="37"/>
      <c r="I55" s="37"/>
    </row>
    <row r="56" spans="1:10" ht="15.75" x14ac:dyDescent="0.3">
      <c r="A56" s="175" t="s">
        <v>369</v>
      </c>
      <c r="B56" s="22">
        <f>B55/(B54*B53)^0.5</f>
        <v>0.6048868096229878</v>
      </c>
      <c r="D56" s="39" t="s">
        <v>458</v>
      </c>
      <c r="F56" s="37"/>
      <c r="G56" s="38"/>
      <c r="H56" s="40"/>
      <c r="I56" s="37"/>
    </row>
    <row r="57" spans="1:10" x14ac:dyDescent="0.2">
      <c r="F57" s="41" t="s">
        <v>459</v>
      </c>
      <c r="G57" s="37"/>
      <c r="H57" s="37"/>
      <c r="I57" s="37"/>
    </row>
    <row r="58" spans="1:10" ht="15.75" x14ac:dyDescent="0.3">
      <c r="A58" t="s">
        <v>430</v>
      </c>
      <c r="F58" s="37"/>
      <c r="G58" s="37" t="s">
        <v>460</v>
      </c>
      <c r="H58" s="37"/>
      <c r="I58" s="37"/>
    </row>
    <row r="59" spans="1:10" ht="15.75" x14ac:dyDescent="0.3">
      <c r="A59" t="s">
        <v>431</v>
      </c>
      <c r="F59" s="37"/>
      <c r="G59" s="37"/>
      <c r="H59" s="42" t="s">
        <v>461</v>
      </c>
      <c r="I59" s="37">
        <v>5.4</v>
      </c>
    </row>
    <row r="60" spans="1:10" ht="16.5" thickBot="1" x14ac:dyDescent="0.35">
      <c r="F60" s="37"/>
      <c r="G60" s="37" t="s">
        <v>462</v>
      </c>
      <c r="H60" s="42"/>
      <c r="I60" s="37"/>
    </row>
    <row r="61" spans="1:10" ht="16.5" thickBot="1" x14ac:dyDescent="0.35">
      <c r="A61" s="177" t="s">
        <v>220</v>
      </c>
      <c r="B61" s="43">
        <f>$B$28*B49*B50*B51*(B52^$C$28)*(B53^$D$28)*(B56^$E$28)</f>
        <v>23.541283831515006</v>
      </c>
      <c r="C61" s="44" t="s">
        <v>184</v>
      </c>
      <c r="D61" s="1"/>
      <c r="F61" s="37"/>
      <c r="G61" s="37"/>
      <c r="H61" s="42" t="s">
        <v>461</v>
      </c>
      <c r="I61" s="37">
        <v>6.75</v>
      </c>
    </row>
    <row r="62" spans="1:10" ht="13.5" thickBot="1" x14ac:dyDescent="0.25">
      <c r="A62" s="8"/>
      <c r="B62" s="8"/>
      <c r="C62" s="8"/>
      <c r="D62" s="8"/>
      <c r="E62" s="8"/>
      <c r="F62" s="8"/>
      <c r="G62" s="8"/>
      <c r="H62" s="8"/>
      <c r="I62" s="8"/>
      <c r="J62" s="8"/>
    </row>
    <row r="63" spans="1:10" x14ac:dyDescent="0.2">
      <c r="A63" s="1" t="s">
        <v>257</v>
      </c>
      <c r="B63" s="91"/>
      <c r="C63" s="5"/>
      <c r="D63" s="5"/>
    </row>
    <row r="64" spans="1:10" x14ac:dyDescent="0.2">
      <c r="A64" s="1" t="s">
        <v>258</v>
      </c>
      <c r="B64" s="92"/>
      <c r="C64" s="16"/>
      <c r="D64" s="16"/>
    </row>
    <row r="65" spans="1:9" x14ac:dyDescent="0.2">
      <c r="A65" s="1"/>
    </row>
    <row r="66" spans="1:9" x14ac:dyDescent="0.2">
      <c r="A66" s="1"/>
      <c r="D66" s="9" t="s">
        <v>201</v>
      </c>
    </row>
    <row r="67" spans="1:9" ht="15.75" x14ac:dyDescent="0.3">
      <c r="A67" s="175" t="s">
        <v>220</v>
      </c>
      <c r="B67" s="20"/>
      <c r="E67" s="41"/>
    </row>
    <row r="68" spans="1:9" ht="15.75" x14ac:dyDescent="0.3">
      <c r="A68" s="175" t="s">
        <v>306</v>
      </c>
      <c r="B68" s="96">
        <v>1</v>
      </c>
      <c r="D68" t="s">
        <v>453</v>
      </c>
      <c r="E68" s="37"/>
    </row>
    <row r="69" spans="1:9" ht="15.75" x14ac:dyDescent="0.3">
      <c r="A69" s="175" t="s">
        <v>308</v>
      </c>
      <c r="B69" s="96">
        <v>1.8</v>
      </c>
      <c r="D69" s="39" t="s">
        <v>454</v>
      </c>
    </row>
    <row r="70" spans="1:9" ht="15.75" x14ac:dyDescent="0.3">
      <c r="A70" s="175" t="s">
        <v>435</v>
      </c>
      <c r="B70" s="96">
        <v>1.1000000000000001</v>
      </c>
      <c r="D70" t="s">
        <v>455</v>
      </c>
    </row>
    <row r="71" spans="1:9" x14ac:dyDescent="0.2">
      <c r="A71" s="175" t="s">
        <v>437</v>
      </c>
      <c r="B71" s="97">
        <v>6.5</v>
      </c>
      <c r="C71" t="s">
        <v>184</v>
      </c>
      <c r="F71" s="37"/>
      <c r="G71" s="37"/>
      <c r="H71" s="37"/>
      <c r="I71" s="37"/>
    </row>
    <row r="72" spans="1:9" ht="15.75" x14ac:dyDescent="0.3">
      <c r="A72" s="175" t="s">
        <v>216</v>
      </c>
      <c r="B72" s="97">
        <v>9.56</v>
      </c>
      <c r="C72" t="s">
        <v>456</v>
      </c>
      <c r="D72" s="39" t="s">
        <v>457</v>
      </c>
      <c r="F72" s="37"/>
      <c r="G72" s="38"/>
      <c r="H72" s="37"/>
      <c r="I72" s="37"/>
    </row>
    <row r="73" spans="1:9" ht="14.25" x14ac:dyDescent="0.2">
      <c r="A73" s="175" t="s">
        <v>214</v>
      </c>
      <c r="B73" s="108">
        <v>32.200000000000003</v>
      </c>
      <c r="C73" s="39" t="s">
        <v>215</v>
      </c>
      <c r="D73" s="39"/>
      <c r="F73" s="37"/>
      <c r="G73" s="38"/>
      <c r="H73" s="37"/>
      <c r="I73" s="37"/>
    </row>
    <row r="74" spans="1:9" ht="15.75" x14ac:dyDescent="0.3">
      <c r="A74" s="175" t="s">
        <v>441</v>
      </c>
      <c r="B74" s="99">
        <v>10.74</v>
      </c>
      <c r="C74" t="s">
        <v>181</v>
      </c>
      <c r="D74" t="s">
        <v>457</v>
      </c>
      <c r="F74" s="37"/>
      <c r="G74" s="38"/>
      <c r="H74" s="37"/>
      <c r="I74" s="37"/>
    </row>
    <row r="75" spans="1:9" ht="15.75" x14ac:dyDescent="0.3">
      <c r="A75" s="175" t="s">
        <v>369</v>
      </c>
      <c r="B75" s="22">
        <f>B74/(B73*B72)^0.5</f>
        <v>0.61213526434101162</v>
      </c>
      <c r="D75" s="39" t="s">
        <v>458</v>
      </c>
      <c r="F75" s="37"/>
      <c r="G75" s="38"/>
      <c r="H75" s="40"/>
      <c r="I75" s="37"/>
    </row>
    <row r="76" spans="1:9" x14ac:dyDescent="0.2">
      <c r="F76" s="41" t="s">
        <v>459</v>
      </c>
      <c r="G76" s="37"/>
      <c r="H76" s="37"/>
      <c r="I76" s="37"/>
    </row>
    <row r="77" spans="1:9" ht="15.75" x14ac:dyDescent="0.3">
      <c r="A77" t="s">
        <v>430</v>
      </c>
      <c r="F77" s="37"/>
      <c r="G77" s="37" t="s">
        <v>460</v>
      </c>
      <c r="H77" s="37"/>
      <c r="I77" s="37"/>
    </row>
    <row r="78" spans="1:9" ht="15.75" x14ac:dyDescent="0.3">
      <c r="A78" t="s">
        <v>431</v>
      </c>
      <c r="F78" s="37"/>
      <c r="G78" s="37"/>
      <c r="H78" s="42" t="s">
        <v>461</v>
      </c>
      <c r="I78" s="37">
        <v>5.4</v>
      </c>
    </row>
    <row r="79" spans="1:9" ht="16.5" thickBot="1" x14ac:dyDescent="0.35">
      <c r="F79" s="37"/>
      <c r="G79" s="37" t="s">
        <v>462</v>
      </c>
      <c r="H79" s="42"/>
      <c r="I79" s="37"/>
    </row>
    <row r="80" spans="1:9" ht="16.5" thickBot="1" x14ac:dyDescent="0.35">
      <c r="A80" s="177" t="s">
        <v>220</v>
      </c>
      <c r="B80" s="43">
        <f>$B$28*B68*B69*B70*(B71^$C$28)*(B72^$D$28)*(B75^$E$28)</f>
        <v>23.855773998629626</v>
      </c>
      <c r="C80" s="44" t="s">
        <v>184</v>
      </c>
      <c r="D80" s="1"/>
      <c r="F80" s="37"/>
      <c r="G80" s="37"/>
      <c r="H80" s="42" t="s">
        <v>461</v>
      </c>
      <c r="I80" s="37">
        <v>6.75</v>
      </c>
    </row>
    <row r="81" spans="1:15" ht="13.5" thickBot="1" x14ac:dyDescent="0.25">
      <c r="A81" s="8"/>
      <c r="B81" s="8"/>
      <c r="C81" s="8"/>
      <c r="D81" s="8"/>
      <c r="E81" s="8"/>
      <c r="F81" s="8"/>
      <c r="G81" s="8"/>
      <c r="H81" s="8"/>
      <c r="I81" s="8"/>
      <c r="J81" s="8"/>
    </row>
    <row r="82" spans="1:15" x14ac:dyDescent="0.2">
      <c r="A82" s="1" t="s">
        <v>257</v>
      </c>
      <c r="B82" s="91"/>
      <c r="C82" s="5"/>
      <c r="D82" s="5"/>
    </row>
    <row r="83" spans="1:15" x14ac:dyDescent="0.2">
      <c r="A83" s="1" t="s">
        <v>258</v>
      </c>
      <c r="B83" s="92"/>
      <c r="C83" s="16"/>
      <c r="D83" s="16"/>
    </row>
    <row r="85" spans="1:15" x14ac:dyDescent="0.2">
      <c r="A85" s="1"/>
      <c r="D85" s="9" t="s">
        <v>201</v>
      </c>
    </row>
    <row r="86" spans="1:15" ht="15.75" x14ac:dyDescent="0.3">
      <c r="A86" s="175" t="s">
        <v>220</v>
      </c>
      <c r="B86" s="20"/>
      <c r="E86" s="41"/>
    </row>
    <row r="87" spans="1:15" ht="15.75" x14ac:dyDescent="0.3">
      <c r="A87" s="175" t="s">
        <v>306</v>
      </c>
      <c r="B87" s="96">
        <v>1</v>
      </c>
      <c r="D87" t="s">
        <v>453</v>
      </c>
      <c r="E87" s="37"/>
    </row>
    <row r="88" spans="1:15" ht="15.75" x14ac:dyDescent="0.3">
      <c r="A88" s="175" t="s">
        <v>308</v>
      </c>
      <c r="B88" s="96">
        <v>1.8</v>
      </c>
      <c r="D88" s="39" t="s">
        <v>454</v>
      </c>
    </row>
    <row r="89" spans="1:15" ht="15.75" x14ac:dyDescent="0.3">
      <c r="A89" s="175" t="s">
        <v>435</v>
      </c>
      <c r="B89" s="96">
        <v>1.1000000000000001</v>
      </c>
      <c r="D89" t="s">
        <v>455</v>
      </c>
    </row>
    <row r="90" spans="1:15" x14ac:dyDescent="0.2">
      <c r="A90" s="175" t="s">
        <v>437</v>
      </c>
      <c r="B90" s="97">
        <v>6.5</v>
      </c>
      <c r="C90" t="s">
        <v>184</v>
      </c>
    </row>
    <row r="91" spans="1:15" ht="15.75" x14ac:dyDescent="0.3">
      <c r="A91" s="175" t="s">
        <v>216</v>
      </c>
      <c r="B91" s="97">
        <v>10.75</v>
      </c>
      <c r="C91" t="s">
        <v>456</v>
      </c>
      <c r="D91" s="39" t="s">
        <v>457</v>
      </c>
      <c r="L91" t="s">
        <v>463</v>
      </c>
      <c r="O91">
        <v>4289.08</v>
      </c>
    </row>
    <row r="92" spans="1:15" ht="14.25" x14ac:dyDescent="0.2">
      <c r="A92" s="175" t="s">
        <v>214</v>
      </c>
      <c r="B92" s="108">
        <v>32.200000000000003</v>
      </c>
      <c r="C92" s="39" t="s">
        <v>215</v>
      </c>
      <c r="D92" s="39"/>
      <c r="L92" t="s">
        <v>464</v>
      </c>
      <c r="N92" s="29">
        <f>B61</f>
        <v>23.541283831515006</v>
      </c>
      <c r="O92" s="29">
        <f>$O$91-N92</f>
        <v>4265.5387161684848</v>
      </c>
    </row>
    <row r="93" spans="1:15" ht="15.75" x14ac:dyDescent="0.3">
      <c r="A93" s="175" t="s">
        <v>441</v>
      </c>
      <c r="B93" s="97">
        <v>11.86</v>
      </c>
      <c r="C93" t="s">
        <v>181</v>
      </c>
      <c r="D93" t="s">
        <v>457</v>
      </c>
      <c r="L93" t="s">
        <v>465</v>
      </c>
      <c r="N93" s="29">
        <f>B80</f>
        <v>23.855773998629626</v>
      </c>
      <c r="O93" s="29">
        <f>$O$91-N93</f>
        <v>4265.22422600137</v>
      </c>
    </row>
    <row r="94" spans="1:15" ht="15.75" x14ac:dyDescent="0.3">
      <c r="A94" s="175" t="s">
        <v>369</v>
      </c>
      <c r="B94" s="22">
        <f>B93/(B92*B91)^0.5</f>
        <v>0.63745938741635055</v>
      </c>
      <c r="D94" s="39" t="s">
        <v>458</v>
      </c>
      <c r="L94" t="s">
        <v>466</v>
      </c>
      <c r="N94" s="29">
        <f>B99</f>
        <v>25.292771136004962</v>
      </c>
      <c r="O94" s="29">
        <f>$O$91-N94</f>
        <v>4263.7872288639946</v>
      </c>
    </row>
    <row r="95" spans="1:15" x14ac:dyDescent="0.2">
      <c r="F95" s="41" t="s">
        <v>459</v>
      </c>
      <c r="G95" s="37"/>
      <c r="H95" s="37"/>
      <c r="I95" s="37"/>
    </row>
    <row r="96" spans="1:15" ht="15.75" x14ac:dyDescent="0.3">
      <c r="A96" t="s">
        <v>430</v>
      </c>
      <c r="F96" s="37"/>
      <c r="G96" s="37" t="s">
        <v>460</v>
      </c>
      <c r="H96" s="37"/>
      <c r="I96" s="37"/>
    </row>
    <row r="97" spans="1:10" ht="15.75" x14ac:dyDescent="0.3">
      <c r="A97" t="s">
        <v>431</v>
      </c>
      <c r="F97" s="37"/>
      <c r="G97" s="37"/>
      <c r="H97" s="42" t="s">
        <v>461</v>
      </c>
      <c r="I97" s="37">
        <v>5.4</v>
      </c>
    </row>
    <row r="98" spans="1:10" ht="16.5" thickBot="1" x14ac:dyDescent="0.35">
      <c r="F98" s="37"/>
      <c r="G98" s="37" t="s">
        <v>462</v>
      </c>
      <c r="H98" s="42"/>
      <c r="I98" s="37"/>
    </row>
    <row r="99" spans="1:10" ht="16.5" thickBot="1" x14ac:dyDescent="0.35">
      <c r="A99" s="177" t="s">
        <v>220</v>
      </c>
      <c r="B99" s="43">
        <f>$B$28*B87*B88*B89*(B90^$C$28)*(B91^$D$28)*(B94^$E$28)</f>
        <v>25.292771136004962</v>
      </c>
      <c r="C99" s="44" t="s">
        <v>184</v>
      </c>
      <c r="D99" s="1"/>
      <c r="F99" s="37"/>
      <c r="G99" s="37"/>
      <c r="H99" s="42" t="s">
        <v>461</v>
      </c>
      <c r="I99" s="37">
        <v>6.75</v>
      </c>
    </row>
    <row r="100" spans="1:10" ht="13.5" thickBot="1" x14ac:dyDescent="0.25">
      <c r="A100" s="8"/>
      <c r="B100" s="8"/>
      <c r="C100" s="8"/>
      <c r="D100" s="8"/>
      <c r="E100" s="8"/>
      <c r="F100" s="8"/>
      <c r="G100" s="8"/>
      <c r="H100" s="8"/>
      <c r="I100" s="8"/>
      <c r="J100" s="8"/>
    </row>
    <row r="101" spans="1:10" x14ac:dyDescent="0.2">
      <c r="A101" s="11" t="s">
        <v>343</v>
      </c>
      <c r="F101" s="1"/>
    </row>
    <row r="102" spans="1:10" x14ac:dyDescent="0.2">
      <c r="A102" s="39" t="s">
        <v>467</v>
      </c>
      <c r="B102" s="39"/>
      <c r="C102" s="39"/>
      <c r="D102" s="39"/>
      <c r="E102" s="39"/>
      <c r="F102" s="39"/>
      <c r="G102" s="39"/>
    </row>
    <row r="103" spans="1:10" x14ac:dyDescent="0.2">
      <c r="A103" t="s">
        <v>468</v>
      </c>
    </row>
  </sheetData>
  <phoneticPr fontId="0" type="noConversion"/>
  <pageMargins left="0.75" right="0.75" top="1" bottom="1" header="0.5" footer="0.5"/>
  <pageSetup scale="94" orientation="portrait" r:id="rId1"/>
  <headerFooter alignWithMargins="0">
    <oddFooter>&amp;R&amp;F
&amp;A
&amp;D</oddFooter>
  </headerFooter>
  <rowBreaks count="2" manualBreakCount="2">
    <brk id="29" max="16383" man="1"/>
    <brk id="62"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79998168889431442"/>
  </sheetPr>
  <dimension ref="A1:O146"/>
  <sheetViews>
    <sheetView workbookViewId="0">
      <selection activeCell="K28" sqref="K28"/>
    </sheetView>
  </sheetViews>
  <sheetFormatPr defaultRowHeight="12.75" x14ac:dyDescent="0.2"/>
  <cols>
    <col min="1" max="1" width="16.5703125" customWidth="1"/>
    <col min="2" max="2" width="10.140625" customWidth="1"/>
    <col min="3" max="3" width="8.28515625" customWidth="1"/>
    <col min="4" max="6" width="8.7109375" customWidth="1"/>
    <col min="7" max="7" width="13.140625" bestFit="1" customWidth="1"/>
    <col min="8" max="9" width="5" bestFit="1" customWidth="1"/>
    <col min="10" max="12" width="7.7109375" customWidth="1"/>
  </cols>
  <sheetData>
    <row r="1" spans="1:11" x14ac:dyDescent="0.2">
      <c r="C1" s="75" t="s">
        <v>129</v>
      </c>
      <c r="D1" s="76" t="s">
        <v>130</v>
      </c>
      <c r="E1" s="5"/>
      <c r="F1" s="5"/>
      <c r="G1" s="75" t="s">
        <v>131</v>
      </c>
      <c r="H1" s="131" t="s">
        <v>132</v>
      </c>
      <c r="I1" s="75" t="s">
        <v>133</v>
      </c>
      <c r="J1" s="133">
        <v>42857</v>
      </c>
    </row>
    <row r="2" spans="1:11" x14ac:dyDescent="0.2">
      <c r="C2" s="77" t="s">
        <v>134</v>
      </c>
      <c r="D2" s="78" t="s">
        <v>135</v>
      </c>
      <c r="E2" s="16"/>
      <c r="F2" s="16"/>
      <c r="G2" s="77" t="s">
        <v>136</v>
      </c>
      <c r="H2" s="132" t="s">
        <v>132</v>
      </c>
      <c r="I2" s="77" t="s">
        <v>133</v>
      </c>
      <c r="J2" s="134">
        <v>42857</v>
      </c>
    </row>
    <row r="3" spans="1:11" x14ac:dyDescent="0.2">
      <c r="C3" s="77" t="s">
        <v>137</v>
      </c>
      <c r="D3" s="78" t="s">
        <v>469</v>
      </c>
      <c r="E3" s="16"/>
      <c r="F3" s="16"/>
      <c r="G3" s="77" t="s">
        <v>139</v>
      </c>
      <c r="H3" s="132">
        <v>1</v>
      </c>
      <c r="I3" s="77" t="s">
        <v>140</v>
      </c>
      <c r="J3" s="132" t="s">
        <v>141</v>
      </c>
    </row>
    <row r="4" spans="1:11" x14ac:dyDescent="0.2">
      <c r="C4" s="77" t="s">
        <v>142</v>
      </c>
      <c r="D4" s="135">
        <v>0</v>
      </c>
      <c r="E4" s="16"/>
      <c r="F4" s="16"/>
      <c r="G4" s="77" t="s">
        <v>143</v>
      </c>
      <c r="H4" s="136">
        <v>0</v>
      </c>
      <c r="I4" s="79"/>
      <c r="J4" s="132"/>
    </row>
    <row r="6" spans="1:11" ht="18" x14ac:dyDescent="0.25">
      <c r="A6" s="10" t="s">
        <v>470</v>
      </c>
    </row>
    <row r="7" spans="1:11" ht="18" x14ac:dyDescent="0.25">
      <c r="A7" s="10" t="s">
        <v>148</v>
      </c>
    </row>
    <row r="9" spans="1:11" x14ac:dyDescent="0.2">
      <c r="A9" s="9" t="s">
        <v>175</v>
      </c>
      <c r="B9" s="11" t="s">
        <v>427</v>
      </c>
      <c r="K9" s="138" t="s">
        <v>471</v>
      </c>
    </row>
    <row r="10" spans="1:11" x14ac:dyDescent="0.2">
      <c r="B10" s="11"/>
    </row>
    <row r="11" spans="1:11" x14ac:dyDescent="0.2">
      <c r="A11" s="1" t="s">
        <v>472</v>
      </c>
      <c r="C11" s="11"/>
    </row>
    <row r="12" spans="1:11" ht="14.25" x14ac:dyDescent="0.2">
      <c r="A12" s="39" t="s">
        <v>473</v>
      </c>
      <c r="C12" s="11"/>
    </row>
    <row r="13" spans="1:11" x14ac:dyDescent="0.2">
      <c r="C13" s="11"/>
    </row>
    <row r="14" spans="1:11" x14ac:dyDescent="0.2">
      <c r="C14" s="11"/>
    </row>
    <row r="15" spans="1:11" x14ac:dyDescent="0.2">
      <c r="C15" s="11"/>
    </row>
    <row r="16" spans="1:11" x14ac:dyDescent="0.2">
      <c r="C16" s="11"/>
    </row>
    <row r="17" spans="1:4" x14ac:dyDescent="0.2">
      <c r="C17" s="11"/>
    </row>
    <row r="18" spans="1:4" x14ac:dyDescent="0.2">
      <c r="C18" s="11"/>
    </row>
    <row r="19" spans="1:4" x14ac:dyDescent="0.2">
      <c r="C19" s="11"/>
    </row>
    <row r="20" spans="1:4" x14ac:dyDescent="0.2">
      <c r="C20" s="11"/>
    </row>
    <row r="21" spans="1:4" x14ac:dyDescent="0.2">
      <c r="C21" s="11"/>
    </row>
    <row r="22" spans="1:4" x14ac:dyDescent="0.2">
      <c r="C22" s="11"/>
    </row>
    <row r="23" spans="1:4" x14ac:dyDescent="0.2">
      <c r="C23" s="11"/>
    </row>
    <row r="24" spans="1:4" x14ac:dyDescent="0.2">
      <c r="C24" s="11"/>
    </row>
    <row r="25" spans="1:4" x14ac:dyDescent="0.2">
      <c r="A25" s="100" t="s">
        <v>474</v>
      </c>
      <c r="B25" t="s">
        <v>184</v>
      </c>
      <c r="C25" t="s">
        <v>475</v>
      </c>
    </row>
    <row r="26" spans="1:4" ht="15.75" x14ac:dyDescent="0.3">
      <c r="A26" s="100" t="s">
        <v>476</v>
      </c>
      <c r="B26" t="s">
        <v>184</v>
      </c>
      <c r="C26" t="s">
        <v>477</v>
      </c>
    </row>
    <row r="27" spans="1:4" ht="15.75" x14ac:dyDescent="0.3">
      <c r="A27" s="100" t="s">
        <v>478</v>
      </c>
      <c r="B27" t="s">
        <v>184</v>
      </c>
      <c r="C27" t="s">
        <v>479</v>
      </c>
    </row>
    <row r="28" spans="1:4" ht="15.75" x14ac:dyDescent="0.3">
      <c r="A28" s="100" t="s">
        <v>480</v>
      </c>
      <c r="B28" t="s">
        <v>184</v>
      </c>
      <c r="C28" t="s">
        <v>481</v>
      </c>
    </row>
    <row r="29" spans="1:4" x14ac:dyDescent="0.2">
      <c r="A29" s="102"/>
      <c r="D29" t="s">
        <v>482</v>
      </c>
    </row>
    <row r="30" spans="1:4" ht="15.75" x14ac:dyDescent="0.3">
      <c r="A30" s="100" t="s">
        <v>483</v>
      </c>
      <c r="B30" t="s">
        <v>184</v>
      </c>
      <c r="C30" t="s">
        <v>484</v>
      </c>
    </row>
    <row r="31" spans="1:4" x14ac:dyDescent="0.2">
      <c r="A31" s="102"/>
      <c r="D31" t="s">
        <v>485</v>
      </c>
    </row>
    <row r="32" spans="1:4" x14ac:dyDescent="0.2">
      <c r="A32" s="100" t="s">
        <v>486</v>
      </c>
      <c r="B32" t="s">
        <v>184</v>
      </c>
      <c r="C32" t="s">
        <v>487</v>
      </c>
    </row>
    <row r="33" spans="1:3" x14ac:dyDescent="0.2">
      <c r="A33" s="100" t="s">
        <v>269</v>
      </c>
      <c r="B33" t="s">
        <v>184</v>
      </c>
      <c r="C33" t="s">
        <v>488</v>
      </c>
    </row>
    <row r="34" spans="1:3" ht="15.75" x14ac:dyDescent="0.3">
      <c r="A34" s="100" t="s">
        <v>216</v>
      </c>
      <c r="B34" t="s">
        <v>184</v>
      </c>
      <c r="C34" t="s">
        <v>489</v>
      </c>
    </row>
    <row r="35" spans="1:3" ht="15.75" x14ac:dyDescent="0.3">
      <c r="A35" s="100" t="s">
        <v>222</v>
      </c>
      <c r="B35" t="s">
        <v>184</v>
      </c>
      <c r="C35" t="s">
        <v>490</v>
      </c>
    </row>
    <row r="36" spans="1:3" ht="15.75" x14ac:dyDescent="0.3">
      <c r="A36" s="100" t="s">
        <v>491</v>
      </c>
      <c r="B36" t="s">
        <v>184</v>
      </c>
      <c r="C36" t="s">
        <v>492</v>
      </c>
    </row>
    <row r="37" spans="1:3" ht="15.75" x14ac:dyDescent="0.3">
      <c r="A37" s="100" t="s">
        <v>441</v>
      </c>
      <c r="B37" t="s">
        <v>181</v>
      </c>
      <c r="C37" t="s">
        <v>493</v>
      </c>
    </row>
    <row r="38" spans="1:3" ht="15.75" x14ac:dyDescent="0.3">
      <c r="A38" s="100" t="s">
        <v>494</v>
      </c>
      <c r="B38" t="s">
        <v>181</v>
      </c>
      <c r="C38" t="s">
        <v>495</v>
      </c>
    </row>
    <row r="39" spans="1:3" ht="15.75" x14ac:dyDescent="0.3">
      <c r="A39" s="100" t="s">
        <v>496</v>
      </c>
      <c r="B39" t="s">
        <v>181</v>
      </c>
      <c r="C39" t="s">
        <v>497</v>
      </c>
    </row>
    <row r="40" spans="1:3" ht="15.75" x14ac:dyDescent="0.3">
      <c r="A40" s="103" t="s">
        <v>498</v>
      </c>
    </row>
    <row r="41" spans="1:3" ht="15.75" x14ac:dyDescent="0.3">
      <c r="A41" s="100" t="s">
        <v>220</v>
      </c>
      <c r="B41" t="s">
        <v>184</v>
      </c>
      <c r="C41" t="s">
        <v>499</v>
      </c>
    </row>
    <row r="42" spans="1:3" ht="15.75" x14ac:dyDescent="0.3">
      <c r="A42" s="100" t="s">
        <v>500</v>
      </c>
      <c r="B42" t="s">
        <v>184</v>
      </c>
      <c r="C42" t="s">
        <v>501</v>
      </c>
    </row>
    <row r="43" spans="1:3" ht="15.75" x14ac:dyDescent="0.3">
      <c r="A43" s="100" t="s">
        <v>502</v>
      </c>
      <c r="B43" t="s">
        <v>184</v>
      </c>
      <c r="C43" t="s">
        <v>503</v>
      </c>
    </row>
    <row r="44" spans="1:3" ht="15.75" x14ac:dyDescent="0.3">
      <c r="A44" s="100" t="s">
        <v>504</v>
      </c>
      <c r="B44" t="s">
        <v>184</v>
      </c>
      <c r="C44" t="s">
        <v>505</v>
      </c>
    </row>
    <row r="45" spans="1:3" ht="18" x14ac:dyDescent="0.25">
      <c r="A45" s="10" t="s">
        <v>470</v>
      </c>
    </row>
    <row r="46" spans="1:3" ht="18" x14ac:dyDescent="0.25">
      <c r="A46" s="89" t="s">
        <v>445</v>
      </c>
    </row>
    <row r="47" spans="1:3" s="15" customFormat="1" x14ac:dyDescent="0.2">
      <c r="A47" s="39"/>
      <c r="B47" s="39"/>
      <c r="C47" s="39"/>
    </row>
    <row r="48" spans="1:3" x14ac:dyDescent="0.2">
      <c r="A48" s="9" t="s">
        <v>175</v>
      </c>
      <c r="B48" s="11" t="s">
        <v>446</v>
      </c>
    </row>
    <row r="49" spans="1:7" x14ac:dyDescent="0.2">
      <c r="A49" s="7"/>
    </row>
    <row r="50" spans="1:7" x14ac:dyDescent="0.2">
      <c r="A50" s="1" t="s">
        <v>193</v>
      </c>
      <c r="B50" s="86" t="s">
        <v>447</v>
      </c>
      <c r="C50" s="5"/>
      <c r="G50" s="39"/>
    </row>
    <row r="51" spans="1:7" x14ac:dyDescent="0.2">
      <c r="A51" s="1" t="s">
        <v>195</v>
      </c>
      <c r="B51" s="88" t="s">
        <v>448</v>
      </c>
      <c r="C51" s="16"/>
    </row>
    <row r="52" spans="1:7" x14ac:dyDescent="0.2">
      <c r="A52" s="1" t="s">
        <v>236</v>
      </c>
      <c r="B52" s="91" t="s">
        <v>506</v>
      </c>
      <c r="C52" s="5"/>
      <c r="D52" s="5"/>
      <c r="E52" s="5"/>
      <c r="F52" s="5"/>
    </row>
    <row r="53" spans="1:7" x14ac:dyDescent="0.2">
      <c r="A53" s="1" t="s">
        <v>237</v>
      </c>
      <c r="B53" s="86" t="s">
        <v>450</v>
      </c>
      <c r="C53" s="5"/>
    </row>
    <row r="54" spans="1:7" x14ac:dyDescent="0.2">
      <c r="A54" s="1" t="s">
        <v>451</v>
      </c>
      <c r="B54" s="86" t="s">
        <v>452</v>
      </c>
      <c r="C54" s="5"/>
      <c r="D54" s="5"/>
      <c r="E54" s="5"/>
      <c r="F54" s="5"/>
      <c r="G54" s="5"/>
    </row>
    <row r="55" spans="1:7" x14ac:dyDescent="0.2">
      <c r="A55" s="1"/>
    </row>
    <row r="56" spans="1:7" x14ac:dyDescent="0.2">
      <c r="A56" s="1" t="s">
        <v>257</v>
      </c>
      <c r="B56" s="91" t="s">
        <v>507</v>
      </c>
      <c r="C56" s="5"/>
      <c r="D56" s="5"/>
      <c r="E56" s="5"/>
      <c r="F56" s="5"/>
    </row>
    <row r="57" spans="1:7" x14ac:dyDescent="0.2">
      <c r="A57" s="1" t="s">
        <v>258</v>
      </c>
      <c r="B57" s="91" t="s">
        <v>198</v>
      </c>
      <c r="C57" s="5"/>
      <c r="D57" s="5"/>
    </row>
    <row r="58" spans="1:7" x14ac:dyDescent="0.2">
      <c r="A58" s="7"/>
    </row>
    <row r="59" spans="1:7" x14ac:dyDescent="0.2">
      <c r="A59" s="9" t="s">
        <v>508</v>
      </c>
    </row>
    <row r="60" spans="1:7" ht="15.75" x14ac:dyDescent="0.3">
      <c r="A60" t="s">
        <v>509</v>
      </c>
    </row>
    <row r="62" spans="1:7" ht="15.75" x14ac:dyDescent="0.3">
      <c r="A62" s="100" t="s">
        <v>500</v>
      </c>
      <c r="B62" t="s">
        <v>184</v>
      </c>
      <c r="C62" t="s">
        <v>510</v>
      </c>
    </row>
    <row r="63" spans="1:7" ht="15.75" x14ac:dyDescent="0.3">
      <c r="A63" s="100" t="s">
        <v>511</v>
      </c>
      <c r="C63" t="s">
        <v>512</v>
      </c>
    </row>
    <row r="64" spans="1:7" ht="15.75" x14ac:dyDescent="0.3">
      <c r="A64" s="100" t="s">
        <v>306</v>
      </c>
      <c r="C64" t="s">
        <v>433</v>
      </c>
    </row>
    <row r="65" spans="1:5" ht="15.75" x14ac:dyDescent="0.3">
      <c r="A65" s="100" t="s">
        <v>308</v>
      </c>
      <c r="C65" t="s">
        <v>434</v>
      </c>
    </row>
    <row r="66" spans="1:5" ht="15.75" x14ac:dyDescent="0.3">
      <c r="A66" s="100" t="s">
        <v>435</v>
      </c>
      <c r="C66" t="s">
        <v>436</v>
      </c>
    </row>
    <row r="67" spans="1:5" ht="15.75" x14ac:dyDescent="0.3">
      <c r="A67" s="100" t="s">
        <v>513</v>
      </c>
      <c r="B67" t="s">
        <v>184</v>
      </c>
      <c r="C67" t="s">
        <v>438</v>
      </c>
    </row>
    <row r="68" spans="1:5" ht="15.75" x14ac:dyDescent="0.3">
      <c r="A68" s="100" t="s">
        <v>216</v>
      </c>
      <c r="B68" t="s">
        <v>184</v>
      </c>
      <c r="C68" t="s">
        <v>439</v>
      </c>
    </row>
    <row r="69" spans="1:5" ht="15.75" x14ac:dyDescent="0.3">
      <c r="A69" s="100" t="s">
        <v>369</v>
      </c>
      <c r="C69" t="s">
        <v>440</v>
      </c>
    </row>
    <row r="70" spans="1:5" ht="15.75" x14ac:dyDescent="0.3">
      <c r="A70" s="100" t="s">
        <v>441</v>
      </c>
      <c r="B70" t="s">
        <v>181</v>
      </c>
      <c r="C70" t="s">
        <v>442</v>
      </c>
    </row>
    <row r="72" spans="1:5" ht="15.75" x14ac:dyDescent="0.3">
      <c r="A72" s="164" t="s">
        <v>514</v>
      </c>
    </row>
    <row r="73" spans="1:5" x14ac:dyDescent="0.2">
      <c r="D73" s="9" t="s">
        <v>201</v>
      </c>
    </row>
    <row r="74" spans="1:5" ht="15.75" x14ac:dyDescent="0.3">
      <c r="A74" s="175" t="s">
        <v>476</v>
      </c>
      <c r="B74" s="97">
        <v>-1.31</v>
      </c>
      <c r="C74" t="s">
        <v>184</v>
      </c>
      <c r="D74" s="83" t="s">
        <v>515</v>
      </c>
    </row>
    <row r="75" spans="1:5" x14ac:dyDescent="0.2">
      <c r="A75" s="175" t="s">
        <v>269</v>
      </c>
      <c r="B75" s="97">
        <v>4</v>
      </c>
      <c r="C75" t="s">
        <v>184</v>
      </c>
      <c r="D75" s="83"/>
    </row>
    <row r="76" spans="1:5" x14ac:dyDescent="0.2">
      <c r="A76" s="175" t="s">
        <v>474</v>
      </c>
      <c r="B76" s="97">
        <v>0.5</v>
      </c>
      <c r="C76" t="s">
        <v>184</v>
      </c>
      <c r="D76" s="83" t="s">
        <v>516</v>
      </c>
      <c r="E76" s="41"/>
    </row>
    <row r="77" spans="1:5" ht="15.75" x14ac:dyDescent="0.3">
      <c r="A77" s="175" t="s">
        <v>478</v>
      </c>
      <c r="B77" s="45">
        <f>B74+B75</f>
        <v>2.69</v>
      </c>
      <c r="C77" t="s">
        <v>184</v>
      </c>
      <c r="D77" s="83" t="s">
        <v>517</v>
      </c>
      <c r="E77" s="41"/>
    </row>
    <row r="78" spans="1:5" ht="15.75" x14ac:dyDescent="0.3">
      <c r="A78" s="175" t="s">
        <v>511</v>
      </c>
      <c r="B78" s="22">
        <f>(0.4075-0.0669*B76/B82) - (0.4271 - 0.0778*B76/B82)*B77/B82 + (0.1615 - 0.0455*B76/B82)*(B77/B82)^2 - (0.0269 - 0.012*B76/B82)*(B77/B82)^3</f>
        <v>0.25329609398570074</v>
      </c>
      <c r="D78" s="104" t="s">
        <v>518</v>
      </c>
      <c r="E78" s="41"/>
    </row>
    <row r="79" spans="1:5" ht="15.75" x14ac:dyDescent="0.3">
      <c r="A79" s="175" t="s">
        <v>306</v>
      </c>
      <c r="B79" s="96">
        <v>1</v>
      </c>
      <c r="D79" s="104" t="s">
        <v>453</v>
      </c>
      <c r="E79" s="37"/>
    </row>
    <row r="80" spans="1:5" ht="15.75" x14ac:dyDescent="0.3">
      <c r="A80" s="175" t="s">
        <v>308</v>
      </c>
      <c r="B80" s="96">
        <v>1.8</v>
      </c>
      <c r="D80" s="104" t="s">
        <v>454</v>
      </c>
    </row>
    <row r="81" spans="1:9" ht="15.75" x14ac:dyDescent="0.3">
      <c r="A81" s="175" t="s">
        <v>435</v>
      </c>
      <c r="B81" s="96">
        <v>1.1000000000000001</v>
      </c>
      <c r="D81" s="83" t="s">
        <v>455</v>
      </c>
    </row>
    <row r="82" spans="1:9" ht="15.75" x14ac:dyDescent="0.3">
      <c r="A82" s="100" t="s">
        <v>513</v>
      </c>
      <c r="B82" s="97">
        <v>6.5</v>
      </c>
      <c r="C82" t="s">
        <v>456</v>
      </c>
      <c r="D82" s="83"/>
    </row>
    <row r="83" spans="1:9" ht="15.75" x14ac:dyDescent="0.3">
      <c r="A83" s="175" t="s">
        <v>216</v>
      </c>
      <c r="B83" s="97">
        <v>10.75</v>
      </c>
      <c r="C83" t="s">
        <v>184</v>
      </c>
      <c r="D83" s="104" t="s">
        <v>457</v>
      </c>
    </row>
    <row r="84" spans="1:9" ht="14.25" x14ac:dyDescent="0.2">
      <c r="A84" s="175" t="s">
        <v>214</v>
      </c>
      <c r="B84" s="108">
        <v>32.200000000000003</v>
      </c>
      <c r="C84" s="39" t="s">
        <v>215</v>
      </c>
      <c r="D84" s="83"/>
    </row>
    <row r="85" spans="1:9" ht="15.75" x14ac:dyDescent="0.3">
      <c r="A85" s="175" t="s">
        <v>441</v>
      </c>
      <c r="B85" s="97">
        <v>11.86</v>
      </c>
      <c r="C85" s="39" t="s">
        <v>181</v>
      </c>
      <c r="D85" s="83" t="s">
        <v>457</v>
      </c>
    </row>
    <row r="86" spans="1:9" ht="15.75" x14ac:dyDescent="0.3">
      <c r="A86" s="175" t="s">
        <v>369</v>
      </c>
      <c r="B86" s="22">
        <f>B85/(B84*B83)^0.5</f>
        <v>0.63745938741635055</v>
      </c>
      <c r="D86" s="104" t="s">
        <v>458</v>
      </c>
    </row>
    <row r="87" spans="1:9" ht="13.5" thickBot="1" x14ac:dyDescent="0.25">
      <c r="F87" s="41"/>
      <c r="G87" s="37"/>
      <c r="H87" s="37"/>
      <c r="I87" s="37"/>
    </row>
    <row r="88" spans="1:9" ht="15.75" x14ac:dyDescent="0.3">
      <c r="A88" s="189" t="s">
        <v>519</v>
      </c>
      <c r="B88" s="46">
        <f>B78*(2*B79*B80*B81*(B82/B83)^0.65*(B86^0.43))</f>
        <v>0.59595908230924011</v>
      </c>
      <c r="C88" s="33"/>
      <c r="D88" s="1"/>
      <c r="F88" s="37"/>
      <c r="G88" s="37"/>
      <c r="H88" s="42"/>
      <c r="I88" s="37"/>
    </row>
    <row r="89" spans="1:9" ht="15" thickBot="1" x14ac:dyDescent="0.3">
      <c r="A89" s="47" t="s">
        <v>520</v>
      </c>
      <c r="B89" s="48">
        <f>B88*B83</f>
        <v>6.4065601348243311</v>
      </c>
      <c r="C89" s="49" t="s">
        <v>184</v>
      </c>
      <c r="D89" s="1"/>
      <c r="F89" s="37"/>
      <c r="G89" s="37"/>
      <c r="H89" s="42"/>
      <c r="I89" s="37"/>
    </row>
    <row r="90" spans="1:9" x14ac:dyDescent="0.2">
      <c r="A90" s="9" t="s">
        <v>521</v>
      </c>
      <c r="B90" s="50"/>
      <c r="D90" s="1"/>
      <c r="F90" s="37"/>
      <c r="G90" s="37"/>
      <c r="H90" s="42"/>
      <c r="I90" s="37"/>
    </row>
    <row r="91" spans="1:9" ht="15.75" x14ac:dyDescent="0.3">
      <c r="A91" t="s">
        <v>522</v>
      </c>
      <c r="B91" s="50"/>
      <c r="D91" s="1"/>
      <c r="F91" s="37"/>
      <c r="G91" s="37"/>
      <c r="H91" s="42"/>
      <c r="I91" s="37"/>
    </row>
    <row r="92" spans="1:9" ht="15.75" x14ac:dyDescent="0.3">
      <c r="A92" s="164" t="s">
        <v>523</v>
      </c>
      <c r="B92" s="50"/>
      <c r="D92" s="1"/>
      <c r="F92" s="37"/>
      <c r="G92" s="37"/>
      <c r="H92" s="42"/>
      <c r="I92" s="37"/>
    </row>
    <row r="93" spans="1:9" x14ac:dyDescent="0.2">
      <c r="A93" s="28"/>
      <c r="B93" s="50"/>
      <c r="D93" s="9" t="s">
        <v>201</v>
      </c>
      <c r="F93" s="37"/>
      <c r="G93" s="37"/>
      <c r="H93" s="42"/>
      <c r="I93" s="37"/>
    </row>
    <row r="94" spans="1:9" x14ac:dyDescent="0.2">
      <c r="A94" s="175" t="s">
        <v>269</v>
      </c>
      <c r="B94" s="45">
        <f>B75</f>
        <v>4</v>
      </c>
      <c r="C94" t="s">
        <v>184</v>
      </c>
      <c r="D94" s="104" t="s">
        <v>524</v>
      </c>
      <c r="F94" s="37"/>
      <c r="G94" s="37"/>
      <c r="H94" s="42"/>
      <c r="I94" s="37"/>
    </row>
    <row r="95" spans="1:9" ht="15.75" x14ac:dyDescent="0.3">
      <c r="A95" s="175" t="s">
        <v>222</v>
      </c>
      <c r="B95" s="22">
        <f>B83+B89/2</f>
        <v>13.953280067412166</v>
      </c>
      <c r="C95" t="s">
        <v>184</v>
      </c>
      <c r="D95" s="104" t="s">
        <v>525</v>
      </c>
      <c r="F95" s="37"/>
      <c r="G95" s="37"/>
      <c r="H95" s="42"/>
      <c r="I95" s="37"/>
    </row>
    <row r="96" spans="1:9" ht="15.75" x14ac:dyDescent="0.3">
      <c r="A96" s="175" t="s">
        <v>480</v>
      </c>
      <c r="B96" s="22">
        <f>B74+B89/2</f>
        <v>1.8932800674121655</v>
      </c>
      <c r="C96" t="s">
        <v>184</v>
      </c>
      <c r="D96" s="105"/>
      <c r="F96" s="37"/>
      <c r="G96" s="37"/>
      <c r="H96" s="42"/>
      <c r="I96" s="37"/>
    </row>
    <row r="97" spans="1:9" ht="15.75" x14ac:dyDescent="0.3">
      <c r="A97" s="175" t="s">
        <v>526</v>
      </c>
      <c r="B97" s="22">
        <f>EXP(-2.705+0.51*LN(B94/B95)-2.783*(B96/B95)^3+1.751/EXP(B96/B95))</f>
        <v>0.16197214800417986</v>
      </c>
      <c r="D97" s="105"/>
      <c r="F97" s="37"/>
      <c r="G97" s="37"/>
      <c r="H97" s="42"/>
      <c r="I97" s="37"/>
    </row>
    <row r="98" spans="1:9" ht="15.75" x14ac:dyDescent="0.3">
      <c r="A98" s="175" t="s">
        <v>527</v>
      </c>
      <c r="B98" s="97">
        <v>9</v>
      </c>
      <c r="C98" t="s">
        <v>184</v>
      </c>
      <c r="D98" s="104" t="s">
        <v>528</v>
      </c>
      <c r="F98" s="37"/>
      <c r="G98" s="37"/>
      <c r="H98" s="42"/>
      <c r="I98" s="37"/>
    </row>
    <row r="99" spans="1:9" ht="15.75" x14ac:dyDescent="0.3">
      <c r="A99" s="175" t="s">
        <v>529</v>
      </c>
      <c r="B99" s="22">
        <f>B97*B98</f>
        <v>1.4577493320376187</v>
      </c>
      <c r="C99" t="s">
        <v>184</v>
      </c>
      <c r="D99" s="105"/>
      <c r="F99" s="37"/>
      <c r="G99" s="37"/>
      <c r="H99" s="42"/>
      <c r="I99" s="37"/>
    </row>
    <row r="100" spans="1:9" x14ac:dyDescent="0.2">
      <c r="A100" s="182"/>
      <c r="B100" s="50"/>
      <c r="D100" s="105"/>
      <c r="F100" s="37"/>
      <c r="G100" s="37"/>
      <c r="H100" s="42"/>
      <c r="I100" s="37"/>
    </row>
    <row r="101" spans="1:9" ht="15.75" x14ac:dyDescent="0.3">
      <c r="A101" s="175" t="s">
        <v>306</v>
      </c>
      <c r="B101" s="96">
        <v>1</v>
      </c>
      <c r="D101" s="104" t="s">
        <v>453</v>
      </c>
      <c r="F101" s="37"/>
      <c r="G101" s="37"/>
      <c r="H101" s="42"/>
      <c r="I101" s="37"/>
    </row>
    <row r="102" spans="1:9" ht="15.75" x14ac:dyDescent="0.3">
      <c r="A102" s="175" t="s">
        <v>308</v>
      </c>
      <c r="B102" s="96">
        <v>1.61</v>
      </c>
      <c r="D102" s="104" t="s">
        <v>454</v>
      </c>
      <c r="F102" s="37"/>
      <c r="G102" s="37"/>
      <c r="H102" s="42"/>
      <c r="I102" s="37"/>
    </row>
    <row r="103" spans="1:9" ht="15.75" x14ac:dyDescent="0.3">
      <c r="A103" s="175" t="s">
        <v>435</v>
      </c>
      <c r="B103" s="96">
        <v>1.1000000000000001</v>
      </c>
      <c r="D103" s="83" t="s">
        <v>455</v>
      </c>
      <c r="F103" s="37"/>
      <c r="G103" s="37"/>
      <c r="H103" s="42"/>
      <c r="I103" s="37"/>
    </row>
    <row r="104" spans="1:9" ht="15.75" x14ac:dyDescent="0.3">
      <c r="A104" s="175" t="s">
        <v>530</v>
      </c>
      <c r="B104" s="97">
        <v>1</v>
      </c>
      <c r="D104" s="106" t="s">
        <v>531</v>
      </c>
      <c r="F104" s="37"/>
      <c r="G104" s="37"/>
      <c r="H104" s="42"/>
      <c r="I104" s="37"/>
    </row>
    <row r="105" spans="1:9" ht="14.25" x14ac:dyDescent="0.2">
      <c r="A105" s="175" t="s">
        <v>214</v>
      </c>
      <c r="B105" s="108">
        <v>32.200000000000003</v>
      </c>
      <c r="C105" s="39" t="s">
        <v>215</v>
      </c>
      <c r="D105" s="83"/>
      <c r="F105" s="37"/>
      <c r="G105" s="37"/>
      <c r="H105" s="42"/>
      <c r="I105" s="37"/>
    </row>
    <row r="106" spans="1:9" ht="15.75" x14ac:dyDescent="0.3">
      <c r="A106" s="175" t="s">
        <v>494</v>
      </c>
      <c r="B106" s="22">
        <f>B85*(B83/B95)</f>
        <v>9.1372780725418181</v>
      </c>
      <c r="C106" s="39" t="s">
        <v>181</v>
      </c>
      <c r="D106" s="83" t="s">
        <v>457</v>
      </c>
      <c r="F106" s="37"/>
      <c r="G106" s="37"/>
      <c r="H106" s="42"/>
      <c r="I106" s="37"/>
    </row>
    <row r="107" spans="1:9" ht="15.75" x14ac:dyDescent="0.3">
      <c r="A107" s="175" t="s">
        <v>532</v>
      </c>
      <c r="B107" s="22">
        <f>B106/(B105*B95)^0.5</f>
        <v>0.43107292894844973</v>
      </c>
      <c r="D107" s="104" t="s">
        <v>533</v>
      </c>
      <c r="F107" s="37"/>
      <c r="G107" s="37"/>
      <c r="H107" s="42"/>
      <c r="I107" s="37"/>
    </row>
    <row r="108" spans="1:9" ht="13.5" thickBot="1" x14ac:dyDescent="0.25">
      <c r="F108" s="37"/>
      <c r="G108" s="37"/>
      <c r="H108" s="42"/>
      <c r="I108" s="37"/>
    </row>
    <row r="109" spans="1:9" ht="15.75" x14ac:dyDescent="0.3">
      <c r="A109" s="189" t="s">
        <v>534</v>
      </c>
      <c r="B109" s="46">
        <f>2*B101*B102*B103*B104*(B99/B95)^0.65*(B107^0.43)</f>
        <v>0.56814557733498172</v>
      </c>
      <c r="C109" s="33"/>
      <c r="D109" s="1"/>
      <c r="F109" s="37"/>
      <c r="G109" s="37"/>
      <c r="H109" s="42"/>
      <c r="I109" s="37"/>
    </row>
    <row r="110" spans="1:9" ht="15" thickBot="1" x14ac:dyDescent="0.3">
      <c r="A110" s="47" t="s">
        <v>535</v>
      </c>
      <c r="B110" s="48">
        <f>B109*B95</f>
        <v>7.9274943596165777</v>
      </c>
      <c r="C110" s="49" t="s">
        <v>184</v>
      </c>
      <c r="D110" s="1"/>
      <c r="F110" s="37"/>
      <c r="G110" s="37"/>
      <c r="H110" s="42"/>
      <c r="I110" s="37"/>
    </row>
    <row r="111" spans="1:9" x14ac:dyDescent="0.2">
      <c r="A111" s="28"/>
      <c r="B111" s="50"/>
      <c r="D111" s="1"/>
      <c r="F111" s="37"/>
      <c r="G111" s="37"/>
      <c r="H111" s="42"/>
      <c r="I111" s="37"/>
    </row>
    <row r="112" spans="1:9" x14ac:dyDescent="0.2">
      <c r="A112" s="9" t="s">
        <v>536</v>
      </c>
      <c r="B112" s="50"/>
      <c r="D112" s="1"/>
      <c r="F112" s="37"/>
      <c r="G112" s="37"/>
      <c r="H112" s="42"/>
      <c r="I112" s="37"/>
    </row>
    <row r="113" spans="1:9" ht="15.75" x14ac:dyDescent="0.3">
      <c r="A113" t="s">
        <v>537</v>
      </c>
      <c r="B113" s="50"/>
      <c r="D113" s="1"/>
      <c r="F113" s="37"/>
      <c r="G113" s="37"/>
      <c r="H113" s="42"/>
      <c r="I113" s="37"/>
    </row>
    <row r="114" spans="1:9" x14ac:dyDescent="0.2">
      <c r="A114" s="28"/>
      <c r="B114" s="50"/>
      <c r="D114" s="9" t="s">
        <v>201</v>
      </c>
      <c r="F114" s="37"/>
      <c r="G114" s="37"/>
      <c r="H114" s="42"/>
      <c r="I114" s="37"/>
    </row>
    <row r="115" spans="1:9" ht="15.75" x14ac:dyDescent="0.3">
      <c r="A115" s="175" t="s">
        <v>491</v>
      </c>
      <c r="B115" s="22">
        <f>B83+B89/2+B110/2</f>
        <v>17.917027247220453</v>
      </c>
      <c r="C115" t="s">
        <v>184</v>
      </c>
      <c r="D115" s="104" t="s">
        <v>538</v>
      </c>
      <c r="F115" s="37"/>
      <c r="G115" s="37"/>
      <c r="H115" s="42"/>
      <c r="I115" s="37"/>
    </row>
    <row r="116" spans="1:9" ht="15.75" x14ac:dyDescent="0.3">
      <c r="A116" s="175" t="s">
        <v>483</v>
      </c>
      <c r="B116" s="22">
        <f>B74+B89/2+B110/2</f>
        <v>5.8570272472204543</v>
      </c>
      <c r="C116" t="s">
        <v>184</v>
      </c>
      <c r="D116" s="105"/>
      <c r="F116" s="37"/>
      <c r="G116" s="37"/>
      <c r="H116" s="42"/>
      <c r="I116" s="37"/>
    </row>
    <row r="117" spans="1:9" x14ac:dyDescent="0.2">
      <c r="A117" s="175" t="s">
        <v>437</v>
      </c>
      <c r="B117" s="97">
        <v>1</v>
      </c>
      <c r="C117" t="s">
        <v>184</v>
      </c>
      <c r="D117" s="105"/>
      <c r="F117" s="37"/>
      <c r="G117" s="37"/>
      <c r="H117" s="42"/>
      <c r="I117" s="37"/>
    </row>
    <row r="118" spans="1:9" x14ac:dyDescent="0.2">
      <c r="A118" s="175" t="s">
        <v>486</v>
      </c>
      <c r="B118" s="97">
        <v>3.5</v>
      </c>
      <c r="C118" t="s">
        <v>184</v>
      </c>
      <c r="D118" s="105"/>
      <c r="F118" s="37"/>
      <c r="G118" s="37"/>
      <c r="H118" s="42"/>
      <c r="I118" s="37"/>
    </row>
    <row r="119" spans="1:9" ht="15.75" x14ac:dyDescent="0.3">
      <c r="A119" s="175" t="s">
        <v>539</v>
      </c>
      <c r="B119" s="99">
        <v>2.875</v>
      </c>
      <c r="C119" t="s">
        <v>184</v>
      </c>
      <c r="D119" s="105"/>
      <c r="F119" s="37"/>
      <c r="G119" s="37"/>
      <c r="H119" s="42"/>
      <c r="I119" s="37"/>
    </row>
    <row r="120" spans="1:9" ht="15.75" x14ac:dyDescent="0.3">
      <c r="A120" s="175" t="s">
        <v>540</v>
      </c>
      <c r="B120" s="97">
        <v>16</v>
      </c>
      <c r="C120" t="s">
        <v>184</v>
      </c>
      <c r="D120" s="105"/>
      <c r="F120" s="37"/>
      <c r="G120" s="37"/>
      <c r="H120" s="42"/>
      <c r="I120" s="37"/>
    </row>
    <row r="121" spans="1:9" ht="15.75" x14ac:dyDescent="0.3">
      <c r="A121" s="175" t="s">
        <v>541</v>
      </c>
      <c r="B121" s="22">
        <f>1-4/3*(1-1/(B120/B117))*(1-(B118/B117)^-0.6)</f>
        <v>0.33948015141035293</v>
      </c>
      <c r="D121" s="105"/>
      <c r="F121" s="37"/>
      <c r="G121" s="37"/>
      <c r="H121" s="42"/>
      <c r="I121" s="37"/>
    </row>
    <row r="122" spans="1:9" ht="15.75" x14ac:dyDescent="0.3">
      <c r="A122" s="175" t="s">
        <v>542</v>
      </c>
      <c r="B122" s="45">
        <v>1</v>
      </c>
      <c r="D122" s="104" t="s">
        <v>543</v>
      </c>
      <c r="F122" s="37"/>
      <c r="G122" s="37"/>
      <c r="H122" s="42"/>
      <c r="I122" s="37"/>
    </row>
    <row r="123" spans="1:9" ht="15.75" x14ac:dyDescent="0.3">
      <c r="A123" s="175" t="s">
        <v>544</v>
      </c>
      <c r="B123" s="22">
        <f>B120*B121*B122</f>
        <v>5.4316824225656468</v>
      </c>
      <c r="D123" s="105"/>
      <c r="F123" s="37"/>
      <c r="G123" s="37"/>
      <c r="H123" s="42"/>
      <c r="I123" s="37"/>
    </row>
    <row r="124" spans="1:9" x14ac:dyDescent="0.2">
      <c r="A124" s="182"/>
      <c r="B124" s="50"/>
      <c r="D124" s="1"/>
      <c r="F124" s="37"/>
      <c r="G124" s="37"/>
      <c r="H124" s="42"/>
      <c r="I124" s="37"/>
    </row>
    <row r="125" spans="1:9" ht="15.75" x14ac:dyDescent="0.3">
      <c r="A125" s="175" t="s">
        <v>545</v>
      </c>
      <c r="B125" s="22">
        <f>(3.08*(B116/B115) - 5.23*(B116/B115)^2 + 5.25*(B116/B115)^3 - 2.1*(B116/B115)^4)^(1/0.65)</f>
        <v>0.464359539009642</v>
      </c>
      <c r="D125" s="105"/>
      <c r="F125" s="37"/>
      <c r="G125" s="37"/>
      <c r="H125" s="42"/>
      <c r="I125" s="37"/>
    </row>
    <row r="126" spans="1:9" ht="15.75" x14ac:dyDescent="0.3">
      <c r="A126" s="175" t="s">
        <v>306</v>
      </c>
      <c r="B126" s="96">
        <v>1</v>
      </c>
      <c r="D126" s="104" t="s">
        <v>453</v>
      </c>
      <c r="F126" s="37"/>
      <c r="G126" s="37"/>
      <c r="H126" s="42"/>
      <c r="I126" s="37"/>
    </row>
    <row r="127" spans="1:9" ht="15.75" x14ac:dyDescent="0.3">
      <c r="A127" s="175" t="s">
        <v>435</v>
      </c>
      <c r="B127" s="96">
        <v>1.1000000000000001</v>
      </c>
      <c r="D127" s="83" t="s">
        <v>455</v>
      </c>
      <c r="F127" s="37"/>
      <c r="G127" s="37"/>
      <c r="H127" s="42"/>
      <c r="I127" s="37"/>
    </row>
    <row r="128" spans="1:9" ht="14.25" x14ac:dyDescent="0.2">
      <c r="A128" s="175" t="s">
        <v>214</v>
      </c>
      <c r="B128" s="108">
        <v>32.200000000000003</v>
      </c>
      <c r="C128" s="39" t="s">
        <v>215</v>
      </c>
      <c r="D128" s="83"/>
      <c r="F128" s="37"/>
      <c r="G128" s="37"/>
      <c r="H128" s="42"/>
      <c r="I128" s="37"/>
    </row>
    <row r="129" spans="1:15" ht="15.75" x14ac:dyDescent="0.3">
      <c r="A129" s="175" t="s">
        <v>496</v>
      </c>
      <c r="B129" s="22">
        <f>B85*(B83/B115)</f>
        <v>7.1158567903489036</v>
      </c>
      <c r="C129" s="39" t="s">
        <v>181</v>
      </c>
      <c r="D129" s="83" t="s">
        <v>457</v>
      </c>
      <c r="F129" s="37"/>
      <c r="G129" s="37"/>
      <c r="H129" s="42"/>
      <c r="I129" s="37"/>
    </row>
    <row r="130" spans="1:15" ht="15.75" x14ac:dyDescent="0.3">
      <c r="A130" s="175" t="s">
        <v>546</v>
      </c>
      <c r="B130" s="22">
        <f>B129/(B128*B115)^0.5</f>
        <v>0.29625540751711937</v>
      </c>
      <c r="D130" s="104" t="s">
        <v>547</v>
      </c>
      <c r="F130" s="37"/>
      <c r="G130" s="37"/>
      <c r="H130" s="42"/>
      <c r="I130" s="37"/>
    </row>
    <row r="131" spans="1:15" ht="13.5" thickBot="1" x14ac:dyDescent="0.25">
      <c r="F131" s="37"/>
      <c r="G131" s="37"/>
      <c r="H131" s="42"/>
      <c r="I131" s="37"/>
    </row>
    <row r="132" spans="1:15" ht="15.75" x14ac:dyDescent="0.3">
      <c r="A132" s="189" t="s">
        <v>548</v>
      </c>
      <c r="B132" s="46">
        <f>B125*(2*B126*B127*(B123/B115)^0.65*(B130^0.43))</f>
        <v>0.27872634863170165</v>
      </c>
      <c r="C132" s="33"/>
      <c r="D132" s="1"/>
      <c r="F132" s="37"/>
      <c r="G132" s="37"/>
      <c r="H132" s="42"/>
      <c r="I132" s="37"/>
    </row>
    <row r="133" spans="1:15" ht="15" thickBot="1" x14ac:dyDescent="0.3">
      <c r="A133" s="47" t="s">
        <v>549</v>
      </c>
      <c r="B133" s="48">
        <f>B132*B115</f>
        <v>4.9939475829524653</v>
      </c>
      <c r="C133" s="49" t="s">
        <v>184</v>
      </c>
      <c r="D133" s="1"/>
      <c r="F133" s="37"/>
      <c r="G133" s="37"/>
      <c r="H133" s="42"/>
      <c r="I133" s="37"/>
    </row>
    <row r="134" spans="1:15" x14ac:dyDescent="0.2">
      <c r="A134" s="28"/>
      <c r="B134" s="50"/>
      <c r="D134" s="1"/>
      <c r="F134" s="37"/>
      <c r="G134" s="37"/>
      <c r="H134" s="42"/>
      <c r="I134" s="37"/>
    </row>
    <row r="135" spans="1:15" x14ac:dyDescent="0.2">
      <c r="A135" s="51" t="s">
        <v>550</v>
      </c>
      <c r="B135" s="50"/>
      <c r="D135" s="1"/>
      <c r="F135" s="37"/>
      <c r="G135" s="37"/>
      <c r="H135" s="42"/>
      <c r="I135" s="37"/>
      <c r="L135" t="s">
        <v>463</v>
      </c>
      <c r="O135">
        <v>4289.08</v>
      </c>
    </row>
    <row r="136" spans="1:15" ht="15.75" x14ac:dyDescent="0.3">
      <c r="A136" s="14" t="s">
        <v>498</v>
      </c>
      <c r="B136" s="50"/>
      <c r="D136" s="1"/>
      <c r="F136" s="37"/>
      <c r="G136" s="37"/>
      <c r="H136" s="42"/>
      <c r="I136" s="37"/>
      <c r="L136" t="s">
        <v>466</v>
      </c>
      <c r="N136" s="29">
        <f>B141</f>
        <v>19.328002077393375</v>
      </c>
      <c r="O136" s="29">
        <f>$O$135-N136</f>
        <v>4269.7519979226063</v>
      </c>
    </row>
    <row r="137" spans="1:15" ht="15.75" x14ac:dyDescent="0.3">
      <c r="A137" s="100" t="s">
        <v>500</v>
      </c>
      <c r="B137" s="22">
        <f>B89</f>
        <v>6.4065601348243311</v>
      </c>
      <c r="D137" s="1"/>
      <c r="F137" s="37"/>
      <c r="G137" s="37"/>
      <c r="H137" s="42"/>
      <c r="I137" s="37"/>
    </row>
    <row r="138" spans="1:15" ht="15.75" x14ac:dyDescent="0.3">
      <c r="A138" s="100" t="s">
        <v>502</v>
      </c>
      <c r="B138" s="22">
        <f>B110</f>
        <v>7.9274943596165777</v>
      </c>
      <c r="D138" s="1"/>
      <c r="F138" s="37"/>
      <c r="G138" s="37"/>
      <c r="H138" s="42"/>
      <c r="I138" s="37"/>
    </row>
    <row r="139" spans="1:15" ht="15.75" x14ac:dyDescent="0.3">
      <c r="A139" s="100" t="s">
        <v>504</v>
      </c>
      <c r="B139" s="22">
        <f>B133</f>
        <v>4.9939475829524653</v>
      </c>
      <c r="D139" s="1"/>
      <c r="F139" s="37"/>
      <c r="G139" s="37"/>
      <c r="H139" s="42"/>
      <c r="I139" s="37"/>
    </row>
    <row r="140" spans="1:15" ht="13.5" thickBot="1" x14ac:dyDescent="0.25">
      <c r="A140" s="7"/>
      <c r="B140" s="50"/>
      <c r="D140" s="1"/>
      <c r="F140" s="37"/>
      <c r="G140" s="37"/>
      <c r="H140" s="42"/>
      <c r="I140" s="37"/>
    </row>
    <row r="141" spans="1:15" ht="15" thickBot="1" x14ac:dyDescent="0.3">
      <c r="A141" s="52" t="s">
        <v>551</v>
      </c>
      <c r="B141" s="53">
        <f>B137+B138+B139</f>
        <v>19.328002077393375</v>
      </c>
      <c r="C141" s="54" t="s">
        <v>184</v>
      </c>
      <c r="D141" s="1"/>
      <c r="F141" s="37"/>
      <c r="G141" s="37"/>
      <c r="H141" s="42"/>
      <c r="I141" s="37"/>
    </row>
    <row r="142" spans="1:15" x14ac:dyDescent="0.2">
      <c r="A142" s="7"/>
      <c r="B142" s="50"/>
      <c r="D142" s="1"/>
      <c r="F142" s="37"/>
      <c r="G142" s="37"/>
      <c r="H142" s="42"/>
      <c r="I142" s="37"/>
    </row>
    <row r="143" spans="1:15" ht="13.5" thickBot="1" x14ac:dyDescent="0.25">
      <c r="A143" s="8"/>
      <c r="B143" s="8"/>
      <c r="C143" s="8"/>
      <c r="D143" s="8"/>
      <c r="E143" s="8"/>
      <c r="F143" s="8"/>
      <c r="G143" s="8"/>
      <c r="H143" s="8"/>
      <c r="I143" s="8"/>
      <c r="J143" s="8"/>
    </row>
    <row r="144" spans="1:15" x14ac:dyDescent="0.2">
      <c r="A144" s="11" t="s">
        <v>343</v>
      </c>
      <c r="F144" s="1"/>
    </row>
    <row r="145" spans="1:7" x14ac:dyDescent="0.2">
      <c r="A145" s="104" t="s">
        <v>467</v>
      </c>
      <c r="B145" s="39"/>
      <c r="C145" s="39"/>
      <c r="D145" s="39"/>
      <c r="E145" s="39"/>
      <c r="F145" s="39"/>
      <c r="G145" s="39"/>
    </row>
    <row r="146" spans="1:7" x14ac:dyDescent="0.2">
      <c r="A146" s="83" t="s">
        <v>552</v>
      </c>
    </row>
  </sheetData>
  <phoneticPr fontId="0" type="noConversion"/>
  <pageMargins left="0.75" right="0.75" top="1" bottom="1" header="0.5" footer="0.5"/>
  <pageSetup scale="81" orientation="portrait" r:id="rId1"/>
  <headerFooter alignWithMargins="0">
    <oddFooter>&amp;R&amp;F
&amp;A
&amp;D</oddFooter>
  </headerFooter>
  <rowBreaks count="3" manualBreakCount="3">
    <brk id="44" max="9" man="1"/>
    <brk id="89" max="9" man="1"/>
    <brk id="133"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sheetPr>
  <dimension ref="A1:J25"/>
  <sheetViews>
    <sheetView workbookViewId="0"/>
  </sheetViews>
  <sheetFormatPr defaultRowHeight="12.75" x14ac:dyDescent="0.2"/>
  <cols>
    <col min="12" max="12" width="4.710937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553</v>
      </c>
      <c r="E3" s="16"/>
      <c r="F3" s="16"/>
      <c r="G3" s="77" t="s">
        <v>139</v>
      </c>
      <c r="H3" s="132">
        <v>1</v>
      </c>
      <c r="I3" s="77" t="s">
        <v>140</v>
      </c>
      <c r="J3" s="132" t="s">
        <v>141</v>
      </c>
    </row>
    <row r="4" spans="1:10" x14ac:dyDescent="0.2">
      <c r="C4" s="77" t="s">
        <v>142</v>
      </c>
      <c r="D4" s="135">
        <v>0</v>
      </c>
      <c r="E4" s="16"/>
      <c r="F4" s="16"/>
      <c r="G4" s="77" t="s">
        <v>143</v>
      </c>
      <c r="H4" s="136">
        <v>0</v>
      </c>
      <c r="I4" s="79"/>
      <c r="J4" s="132"/>
    </row>
    <row r="6" spans="1:10" x14ac:dyDescent="0.2">
      <c r="A6" s="9" t="s">
        <v>78</v>
      </c>
      <c r="D6" s="137" t="s">
        <v>554</v>
      </c>
    </row>
    <row r="7" spans="1:10" ht="14.25" x14ac:dyDescent="0.25">
      <c r="A7" s="1" t="s">
        <v>555</v>
      </c>
    </row>
    <row r="8" spans="1:10" x14ac:dyDescent="0.2">
      <c r="B8" s="60"/>
    </row>
    <row r="9" spans="1:10" x14ac:dyDescent="0.2">
      <c r="A9" s="107" t="s">
        <v>353</v>
      </c>
      <c r="B9" s="74">
        <v>25</v>
      </c>
      <c r="C9" t="s">
        <v>354</v>
      </c>
      <c r="D9" s="39" t="s">
        <v>556</v>
      </c>
    </row>
    <row r="10" spans="1:10" x14ac:dyDescent="0.2">
      <c r="A10" s="107" t="s">
        <v>353</v>
      </c>
      <c r="B10" s="57">
        <f>RADIANS(B9)</f>
        <v>0.43633231299858238</v>
      </c>
      <c r="C10" t="s">
        <v>557</v>
      </c>
      <c r="D10" s="39" t="s">
        <v>556</v>
      </c>
    </row>
    <row r="11" spans="1:10" x14ac:dyDescent="0.2">
      <c r="A11" s="101" t="s">
        <v>318</v>
      </c>
      <c r="B11" s="74">
        <v>24</v>
      </c>
      <c r="C11" t="s">
        <v>184</v>
      </c>
      <c r="D11" s="39" t="s">
        <v>558</v>
      </c>
    </row>
    <row r="12" spans="1:10" x14ac:dyDescent="0.2">
      <c r="A12" s="101" t="s">
        <v>437</v>
      </c>
      <c r="B12" s="74">
        <v>6.5</v>
      </c>
      <c r="C12" t="s">
        <v>184</v>
      </c>
      <c r="D12" t="s">
        <v>438</v>
      </c>
    </row>
    <row r="13" spans="1:10" ht="13.5" thickBot="1" x14ac:dyDescent="0.25"/>
    <row r="14" spans="1:10" ht="16.5" thickBot="1" x14ac:dyDescent="0.35">
      <c r="A14" s="7" t="s">
        <v>308</v>
      </c>
      <c r="B14" s="61">
        <f>(COS(B10) + (B11/B12)*SIN(B10))^0.65</f>
        <v>1.798376849898174</v>
      </c>
    </row>
    <row r="17" spans="1:4" x14ac:dyDescent="0.2">
      <c r="A17" s="9" t="s">
        <v>469</v>
      </c>
    </row>
    <row r="18" spans="1:4" ht="14.25" x14ac:dyDescent="0.25">
      <c r="A18" s="1" t="s">
        <v>559</v>
      </c>
    </row>
    <row r="19" spans="1:4" x14ac:dyDescent="0.2">
      <c r="B19" s="60"/>
    </row>
    <row r="20" spans="1:4" x14ac:dyDescent="0.2">
      <c r="A20" s="107" t="s">
        <v>353</v>
      </c>
      <c r="B20" s="74">
        <v>25</v>
      </c>
      <c r="C20" t="s">
        <v>354</v>
      </c>
      <c r="D20" s="39" t="s">
        <v>556</v>
      </c>
    </row>
    <row r="21" spans="1:4" x14ac:dyDescent="0.2">
      <c r="A21" s="107" t="s">
        <v>353</v>
      </c>
      <c r="B21" s="57">
        <f>RADIANS(B20)</f>
        <v>0.43633231299858238</v>
      </c>
      <c r="C21" t="s">
        <v>557</v>
      </c>
      <c r="D21" s="39" t="s">
        <v>556</v>
      </c>
    </row>
    <row r="22" spans="1:4" x14ac:dyDescent="0.2">
      <c r="A22" s="101" t="s">
        <v>318</v>
      </c>
      <c r="B22" s="74">
        <v>25</v>
      </c>
      <c r="C22" t="s">
        <v>184</v>
      </c>
      <c r="D22" s="39" t="s">
        <v>558</v>
      </c>
    </row>
    <row r="23" spans="1:4" x14ac:dyDescent="0.2">
      <c r="A23" s="101" t="s">
        <v>437</v>
      </c>
      <c r="B23" s="74">
        <v>9</v>
      </c>
      <c r="C23" t="s">
        <v>184</v>
      </c>
      <c r="D23" t="s">
        <v>438</v>
      </c>
    </row>
    <row r="24" spans="1:4" ht="13.5" thickBot="1" x14ac:dyDescent="0.25"/>
    <row r="25" spans="1:4" ht="16.5" thickBot="1" x14ac:dyDescent="0.35">
      <c r="A25" s="7" t="s">
        <v>308</v>
      </c>
      <c r="B25" s="61">
        <f>(COS(B21) + (B22/B23)*SIN(B21))^0.65</f>
        <v>1.6098104509693212</v>
      </c>
    </row>
  </sheetData>
  <phoneticPr fontId="17" type="noConversion"/>
  <pageMargins left="1" right="1" top="1" bottom="1" header="0.5" footer="0.5"/>
  <pageSetup scale="71" orientation="portrait" r:id="rId1"/>
  <headerFooter alignWithMargins="0">
    <oddFooter>&amp;R&amp;F
&amp;A
&amp;D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7"/>
  <sheetViews>
    <sheetView workbookViewId="0"/>
  </sheetViews>
  <sheetFormatPr defaultRowHeight="12.75" x14ac:dyDescent="0.2"/>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560</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5.75" x14ac:dyDescent="0.25">
      <c r="A6" s="111" t="s">
        <v>561</v>
      </c>
    </row>
    <row r="8" spans="1:10" x14ac:dyDescent="0.2">
      <c r="A8" s="9" t="s">
        <v>562</v>
      </c>
      <c r="C8" s="1" t="s">
        <v>563</v>
      </c>
      <c r="D8" s="112"/>
    </row>
    <row r="9" spans="1:10" x14ac:dyDescent="0.2">
      <c r="D9" s="11" t="s">
        <v>564</v>
      </c>
    </row>
    <row r="10" spans="1:10" x14ac:dyDescent="0.2">
      <c r="C10" s="113"/>
    </row>
    <row r="11" spans="1:10" x14ac:dyDescent="0.2">
      <c r="A11" s="9" t="s">
        <v>565</v>
      </c>
    </row>
    <row r="12" spans="1:10" ht="15.75" x14ac:dyDescent="0.3">
      <c r="A12" s="112"/>
      <c r="B12" t="s">
        <v>566</v>
      </c>
    </row>
    <row r="13" spans="1:10" x14ac:dyDescent="0.2">
      <c r="B13" s="112"/>
    </row>
    <row r="14" spans="1:10" x14ac:dyDescent="0.2">
      <c r="A14" s="9" t="s">
        <v>567</v>
      </c>
      <c r="B14" s="112"/>
    </row>
    <row r="15" spans="1:10" x14ac:dyDescent="0.2">
      <c r="B15" t="s">
        <v>568</v>
      </c>
    </row>
    <row r="18" spans="1:16" x14ac:dyDescent="0.2">
      <c r="A18" s="9" t="s">
        <v>569</v>
      </c>
    </row>
    <row r="20" spans="1:16" ht="15.75" x14ac:dyDescent="0.3">
      <c r="A20" s="114" t="s">
        <v>570</v>
      </c>
      <c r="B20" s="112" t="s">
        <v>184</v>
      </c>
      <c r="C20" s="112" t="s">
        <v>571</v>
      </c>
    </row>
    <row r="21" spans="1:16" x14ac:dyDescent="0.2">
      <c r="A21" s="114"/>
      <c r="B21" s="112"/>
      <c r="C21" s="115" t="s">
        <v>572</v>
      </c>
    </row>
    <row r="22" spans="1:16" ht="15.75" x14ac:dyDescent="0.3">
      <c r="A22" s="114" t="s">
        <v>573</v>
      </c>
      <c r="B22" s="112" t="s">
        <v>184</v>
      </c>
      <c r="C22" s="112" t="s">
        <v>574</v>
      </c>
    </row>
    <row r="23" spans="1:16" ht="15.75" x14ac:dyDescent="0.3">
      <c r="A23" s="114" t="s">
        <v>575</v>
      </c>
      <c r="B23" s="112"/>
      <c r="C23" s="112" t="s">
        <v>576</v>
      </c>
    </row>
    <row r="24" spans="1:16" x14ac:dyDescent="0.2">
      <c r="A24" s="7"/>
    </row>
    <row r="25" spans="1:16" x14ac:dyDescent="0.2">
      <c r="A25" s="116" t="s">
        <v>577</v>
      </c>
    </row>
    <row r="26" spans="1:16" x14ac:dyDescent="0.2">
      <c r="A26" s="116"/>
    </row>
    <row r="27" spans="1:16" x14ac:dyDescent="0.2">
      <c r="A27" s="116"/>
      <c r="B27" s="74"/>
      <c r="C27" s="39" t="s">
        <v>578</v>
      </c>
      <c r="M27" s="7" t="s">
        <v>579</v>
      </c>
      <c r="N27" s="7" t="s">
        <v>579</v>
      </c>
      <c r="O27" s="7" t="s">
        <v>580</v>
      </c>
      <c r="P27" s="7" t="s">
        <v>580</v>
      </c>
    </row>
    <row r="28" spans="1:16" x14ac:dyDescent="0.2">
      <c r="A28" s="116"/>
      <c r="M28" s="7" t="s">
        <v>212</v>
      </c>
      <c r="N28" s="7" t="s">
        <v>213</v>
      </c>
      <c r="O28" s="7" t="s">
        <v>212</v>
      </c>
      <c r="P28" s="7" t="s">
        <v>213</v>
      </c>
    </row>
    <row r="29" spans="1:16" x14ac:dyDescent="0.2">
      <c r="A29" s="116"/>
      <c r="D29" s="60" t="s">
        <v>201</v>
      </c>
      <c r="K29" s="1" t="s">
        <v>581</v>
      </c>
    </row>
    <row r="30" spans="1:16" ht="15.75" x14ac:dyDescent="0.3">
      <c r="A30" s="114" t="s">
        <v>575</v>
      </c>
      <c r="B30" s="117">
        <v>0.45</v>
      </c>
      <c r="D30" t="s">
        <v>582</v>
      </c>
      <c r="K30" s="114" t="s">
        <v>575</v>
      </c>
      <c r="M30" s="117">
        <v>0.45</v>
      </c>
      <c r="N30" s="117">
        <v>0.48</v>
      </c>
      <c r="O30" s="117">
        <v>0.52</v>
      </c>
      <c r="P30" s="117">
        <v>0.52</v>
      </c>
    </row>
    <row r="31" spans="1:16" ht="15.75" x14ac:dyDescent="0.3">
      <c r="A31" s="114" t="s">
        <v>573</v>
      </c>
      <c r="B31" s="74">
        <v>6.8</v>
      </c>
      <c r="C31" t="s">
        <v>184</v>
      </c>
      <c r="D31" t="s">
        <v>583</v>
      </c>
      <c r="K31" s="114" t="s">
        <v>573</v>
      </c>
      <c r="L31" t="s">
        <v>184</v>
      </c>
      <c r="M31" s="74">
        <v>6.8</v>
      </c>
      <c r="N31" s="74">
        <v>6.6</v>
      </c>
      <c r="O31" s="74">
        <v>6.4</v>
      </c>
      <c r="P31" s="74">
        <v>7.1</v>
      </c>
    </row>
    <row r="32" spans="1:16" x14ac:dyDescent="0.2">
      <c r="A32" s="116"/>
      <c r="D32" s="60"/>
      <c r="K32" s="116"/>
    </row>
    <row r="33" spans="1:16" ht="15.75" x14ac:dyDescent="0.3">
      <c r="A33" s="114" t="s">
        <v>584</v>
      </c>
      <c r="B33" s="63">
        <f>0.73 + 0.14*PI()*B30^2</f>
        <v>0.81906415172927061</v>
      </c>
      <c r="D33" s="60"/>
      <c r="K33" s="114" t="s">
        <v>584</v>
      </c>
      <c r="M33" s="63">
        <f>0.73 + 0.14*PI()*M30^2</f>
        <v>0.81906415172927061</v>
      </c>
      <c r="N33" s="63">
        <f>0.73 + 0.14*PI()*N30^2</f>
        <v>0.83133521263419241</v>
      </c>
      <c r="O33" s="63">
        <f>0.73 + 0.14*PI()*O30^2</f>
        <v>0.84892813149429525</v>
      </c>
      <c r="P33" s="63">
        <f>0.73 + 0.14*PI()*P30^2</f>
        <v>0.84892813149429525</v>
      </c>
    </row>
    <row r="34" spans="1:16" ht="15.75" x14ac:dyDescent="0.3">
      <c r="A34" s="114" t="s">
        <v>570</v>
      </c>
      <c r="B34" s="63">
        <f>B31*B33</f>
        <v>5.5696362317590395</v>
      </c>
      <c r="C34" t="s">
        <v>184</v>
      </c>
      <c r="D34" s="60"/>
      <c r="K34" s="114" t="s">
        <v>570</v>
      </c>
      <c r="L34" t="s">
        <v>184</v>
      </c>
      <c r="M34" s="63">
        <f>M31*M33</f>
        <v>5.5696362317590395</v>
      </c>
      <c r="N34" s="63">
        <f>N31*N33</f>
        <v>5.4868124033856693</v>
      </c>
      <c r="O34" s="63">
        <f>O31*O33</f>
        <v>5.4331400415634903</v>
      </c>
      <c r="P34" s="63">
        <f>P31*P33</f>
        <v>6.0273897336094961</v>
      </c>
    </row>
    <row r="35" spans="1:16" x14ac:dyDescent="0.2">
      <c r="A35" s="116"/>
      <c r="D35" s="60"/>
    </row>
    <row r="36" spans="1:16" ht="14.25" x14ac:dyDescent="0.25">
      <c r="A36" s="118" t="s">
        <v>585</v>
      </c>
      <c r="B36" s="119">
        <v>5.6</v>
      </c>
      <c r="C36" s="1" t="s">
        <v>184</v>
      </c>
      <c r="D36" s="60"/>
    </row>
    <row r="37" spans="1:16" x14ac:dyDescent="0.2">
      <c r="A37" s="116"/>
      <c r="D37" s="60"/>
    </row>
  </sheetData>
  <pageMargins left="0.7" right="0.7" top="0.75" bottom="0.75" header="0.3" footer="0.3"/>
  <pageSetup orientation="portrait"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P39"/>
  <sheetViews>
    <sheetView workbookViewId="0"/>
  </sheetViews>
  <sheetFormatPr defaultRowHeight="12.75" x14ac:dyDescent="0.2"/>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560</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5.75" x14ac:dyDescent="0.25">
      <c r="A6" s="111" t="s">
        <v>586</v>
      </c>
    </row>
    <row r="8" spans="1:10" x14ac:dyDescent="0.2">
      <c r="A8" s="9" t="s">
        <v>562</v>
      </c>
      <c r="C8" s="1" t="s">
        <v>563</v>
      </c>
      <c r="D8" s="112"/>
    </row>
    <row r="9" spans="1:10" x14ac:dyDescent="0.2">
      <c r="D9" s="11" t="s">
        <v>564</v>
      </c>
    </row>
    <row r="10" spans="1:10" x14ac:dyDescent="0.2">
      <c r="C10" s="113"/>
    </row>
    <row r="11" spans="1:10" x14ac:dyDescent="0.2">
      <c r="A11" s="9" t="s">
        <v>587</v>
      </c>
    </row>
    <row r="12" spans="1:10" ht="15.75" x14ac:dyDescent="0.3">
      <c r="A12" s="112"/>
      <c r="B12" t="s">
        <v>588</v>
      </c>
    </row>
    <row r="13" spans="1:10" x14ac:dyDescent="0.2">
      <c r="B13" s="112"/>
    </row>
    <row r="14" spans="1:10" x14ac:dyDescent="0.2">
      <c r="A14" s="9" t="s">
        <v>567</v>
      </c>
      <c r="B14" s="112"/>
    </row>
    <row r="15" spans="1:10" x14ac:dyDescent="0.2">
      <c r="B15" t="s">
        <v>589</v>
      </c>
    </row>
    <row r="18" spans="1:16" x14ac:dyDescent="0.2">
      <c r="A18" s="9" t="s">
        <v>569</v>
      </c>
    </row>
    <row r="20" spans="1:16" ht="15.75" x14ac:dyDescent="0.3">
      <c r="A20" s="114" t="s">
        <v>570</v>
      </c>
      <c r="B20" s="112" t="s">
        <v>184</v>
      </c>
      <c r="C20" s="112" t="s">
        <v>571</v>
      </c>
    </row>
    <row r="21" spans="1:16" x14ac:dyDescent="0.2">
      <c r="A21" s="114"/>
      <c r="B21" s="112"/>
      <c r="C21" s="115" t="s">
        <v>572</v>
      </c>
    </row>
    <row r="22" spans="1:16" ht="15.75" x14ac:dyDescent="0.3">
      <c r="A22" s="114" t="s">
        <v>573</v>
      </c>
      <c r="B22" s="112" t="s">
        <v>184</v>
      </c>
      <c r="C22" s="112" t="s">
        <v>574</v>
      </c>
    </row>
    <row r="23" spans="1:16" ht="15.75" x14ac:dyDescent="0.3">
      <c r="A23" s="114" t="s">
        <v>575</v>
      </c>
      <c r="B23" s="112"/>
      <c r="C23" s="112" t="s">
        <v>576</v>
      </c>
    </row>
    <row r="24" spans="1:16" x14ac:dyDescent="0.2">
      <c r="A24" s="120" t="s">
        <v>353</v>
      </c>
      <c r="B24" s="112" t="s">
        <v>354</v>
      </c>
      <c r="C24" s="112" t="s">
        <v>590</v>
      </c>
    </row>
    <row r="25" spans="1:16" x14ac:dyDescent="0.2">
      <c r="A25" s="7"/>
    </row>
    <row r="26" spans="1:16" x14ac:dyDescent="0.2">
      <c r="A26" s="116" t="s">
        <v>577</v>
      </c>
    </row>
    <row r="27" spans="1:16" x14ac:dyDescent="0.2">
      <c r="A27" s="116"/>
    </row>
    <row r="28" spans="1:16" x14ac:dyDescent="0.2">
      <c r="A28" s="116"/>
      <c r="B28" s="74"/>
      <c r="C28" s="39" t="s">
        <v>578</v>
      </c>
      <c r="M28" s="7" t="s">
        <v>579</v>
      </c>
      <c r="N28" s="7" t="s">
        <v>579</v>
      </c>
      <c r="O28" s="7" t="s">
        <v>580</v>
      </c>
      <c r="P28" s="7" t="s">
        <v>580</v>
      </c>
    </row>
    <row r="29" spans="1:16" x14ac:dyDescent="0.2">
      <c r="A29" s="116"/>
      <c r="M29" s="7" t="s">
        <v>212</v>
      </c>
      <c r="N29" s="7" t="s">
        <v>213</v>
      </c>
      <c r="O29" s="7" t="s">
        <v>212</v>
      </c>
      <c r="P29" s="7" t="s">
        <v>213</v>
      </c>
    </row>
    <row r="30" spans="1:16" x14ac:dyDescent="0.2">
      <c r="A30" s="116"/>
      <c r="D30" s="60" t="s">
        <v>201</v>
      </c>
      <c r="K30" s="1" t="s">
        <v>581</v>
      </c>
    </row>
    <row r="31" spans="1:16" ht="15.75" x14ac:dyDescent="0.3">
      <c r="A31" s="114" t="s">
        <v>575</v>
      </c>
      <c r="B31" s="117">
        <v>0.45</v>
      </c>
      <c r="D31" t="s">
        <v>582</v>
      </c>
      <c r="K31" s="114" t="s">
        <v>575</v>
      </c>
      <c r="M31" s="117">
        <v>0.45</v>
      </c>
      <c r="N31" s="117">
        <v>0.48</v>
      </c>
      <c r="O31" s="117">
        <v>0.52</v>
      </c>
      <c r="P31" s="117">
        <v>0.52</v>
      </c>
    </row>
    <row r="32" spans="1:16" ht="15.75" x14ac:dyDescent="0.3">
      <c r="A32" s="114" t="s">
        <v>573</v>
      </c>
      <c r="B32" s="74">
        <v>6.8</v>
      </c>
      <c r="C32" t="s">
        <v>184</v>
      </c>
      <c r="D32" t="s">
        <v>583</v>
      </c>
      <c r="K32" s="114" t="s">
        <v>573</v>
      </c>
      <c r="L32" t="s">
        <v>184</v>
      </c>
      <c r="M32" s="74">
        <v>6.8</v>
      </c>
      <c r="N32" s="74">
        <v>6.6</v>
      </c>
      <c r="O32" s="74">
        <v>6.4</v>
      </c>
      <c r="P32" s="74">
        <v>7.1</v>
      </c>
    </row>
    <row r="33" spans="1:16" x14ac:dyDescent="0.2">
      <c r="A33" s="120" t="s">
        <v>353</v>
      </c>
      <c r="B33" s="74">
        <v>15</v>
      </c>
      <c r="C33" t="s">
        <v>591</v>
      </c>
      <c r="K33" s="120" t="s">
        <v>353</v>
      </c>
      <c r="L33" t="s">
        <v>354</v>
      </c>
      <c r="M33" s="74">
        <v>15</v>
      </c>
      <c r="N33" s="74">
        <v>15</v>
      </c>
      <c r="O33" s="74">
        <v>15</v>
      </c>
      <c r="P33" s="74">
        <v>15</v>
      </c>
    </row>
    <row r="34" spans="1:16" x14ac:dyDescent="0.2">
      <c r="A34" s="116"/>
      <c r="D34" s="60"/>
      <c r="K34" s="116"/>
    </row>
    <row r="35" spans="1:16" ht="15.75" x14ac:dyDescent="0.3">
      <c r="A35" s="114" t="s">
        <v>584</v>
      </c>
      <c r="B35" s="63">
        <f>(0.73 + 0.14*PI()*B31^2)*COS(RADIANS(B33)) + 4*B31^0.33*SIN(RADIANS(B33))</f>
        <v>1.5866115645246222</v>
      </c>
      <c r="D35" s="60"/>
      <c r="K35" s="114" t="s">
        <v>584</v>
      </c>
      <c r="M35" s="63">
        <f>(0.73 + 0.14*PI()*M31^2)*COS(RADIANS(M33)) + 4*M31^0.33*SIN(RADIANS(M33))</f>
        <v>1.5866115645246222</v>
      </c>
      <c r="N35" s="63">
        <f t="shared" ref="N35:P35" si="0">(0.73 + 0.14*PI()*N31^2)*COS(RADIANS(N33)) + 4*N31^0.33*SIN(RADIANS(N33))</f>
        <v>1.615587593463462</v>
      </c>
      <c r="O35" s="63">
        <f t="shared" si="0"/>
        <v>1.654330580052302</v>
      </c>
      <c r="P35" s="63">
        <f t="shared" si="0"/>
        <v>1.654330580052302</v>
      </c>
    </row>
    <row r="36" spans="1:16" ht="15.75" x14ac:dyDescent="0.3">
      <c r="A36" s="114" t="s">
        <v>570</v>
      </c>
      <c r="B36" s="63">
        <f>B32*B35</f>
        <v>10.788958638767431</v>
      </c>
      <c r="C36" t="s">
        <v>184</v>
      </c>
      <c r="D36" s="60"/>
      <c r="K36" s="114" t="s">
        <v>570</v>
      </c>
      <c r="L36" t="s">
        <v>184</v>
      </c>
      <c r="M36" s="63">
        <f>M32*M35</f>
        <v>10.788958638767431</v>
      </c>
      <c r="N36" s="63">
        <f>N32*N35</f>
        <v>10.662878116858849</v>
      </c>
      <c r="O36" s="63">
        <f>O32*O35</f>
        <v>10.587715712334735</v>
      </c>
      <c r="P36" s="63">
        <f>P32*P35</f>
        <v>11.745747118371344</v>
      </c>
    </row>
    <row r="37" spans="1:16" x14ac:dyDescent="0.2">
      <c r="A37" s="116"/>
      <c r="D37" s="60"/>
    </row>
    <row r="38" spans="1:16" ht="14.25" x14ac:dyDescent="0.25">
      <c r="A38" s="118" t="s">
        <v>585</v>
      </c>
      <c r="B38" s="119">
        <v>10.8</v>
      </c>
      <c r="C38" s="1" t="s">
        <v>184</v>
      </c>
      <c r="D38" s="60"/>
    </row>
    <row r="39" spans="1:16" x14ac:dyDescent="0.2">
      <c r="A39" s="116"/>
      <c r="D39" s="60"/>
    </row>
  </sheetData>
  <pageMargins left="0.7" right="0.7" top="0.75" bottom="0.75" header="0.3" footer="0.3"/>
  <pageSetup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42"/>
  <sheetViews>
    <sheetView workbookViewId="0"/>
  </sheetViews>
  <sheetFormatPr defaultRowHeight="12.75" x14ac:dyDescent="0.2"/>
  <cols>
    <col min="1" max="2" width="4.7109375" customWidth="1"/>
    <col min="3" max="3" width="10.85546875" bestFit="1" customWidth="1"/>
    <col min="4" max="4" width="14.7109375" customWidth="1"/>
    <col min="5" max="5" width="12.140625" style="127" customWidth="1"/>
    <col min="6" max="6" width="23.42578125" style="127" customWidth="1"/>
    <col min="7" max="7" width="60.7109375" bestFit="1" customWidth="1"/>
  </cols>
  <sheetData>
    <row r="2" spans="1:7" x14ac:dyDescent="0.2">
      <c r="A2" s="1" t="s">
        <v>84</v>
      </c>
      <c r="E2" s="126" t="s">
        <v>85</v>
      </c>
    </row>
    <row r="3" spans="1:7" x14ac:dyDescent="0.2">
      <c r="A3" s="1"/>
      <c r="E3" s="126" t="s">
        <v>86</v>
      </c>
      <c r="F3" s="126" t="s">
        <v>87</v>
      </c>
      <c r="G3" s="1" t="s">
        <v>88</v>
      </c>
    </row>
    <row r="4" spans="1:7" ht="3.95" customHeight="1" x14ac:dyDescent="0.2">
      <c r="A4" s="71"/>
      <c r="B4" s="71"/>
      <c r="C4" s="71"/>
      <c r="D4" s="71"/>
      <c r="E4" s="128"/>
      <c r="F4" s="128"/>
      <c r="G4" s="71"/>
    </row>
    <row r="5" spans="1:7" ht="15.75" x14ac:dyDescent="0.3">
      <c r="A5" s="62" t="s">
        <v>89</v>
      </c>
      <c r="E5" s="127" t="s">
        <v>90</v>
      </c>
      <c r="G5" s="39" t="s">
        <v>91</v>
      </c>
    </row>
    <row r="6" spans="1:7" x14ac:dyDescent="0.2">
      <c r="A6" s="1"/>
      <c r="E6" s="127" t="s">
        <v>92</v>
      </c>
      <c r="G6" s="39" t="s">
        <v>93</v>
      </c>
    </row>
    <row r="7" spans="1:7" ht="3.95" customHeight="1" x14ac:dyDescent="0.2">
      <c r="A7" s="71"/>
      <c r="B7" s="71"/>
      <c r="C7" s="71"/>
      <c r="D7" s="71"/>
      <c r="E7" s="128"/>
      <c r="F7" s="128"/>
      <c r="G7" s="71"/>
    </row>
    <row r="8" spans="1:7" x14ac:dyDescent="0.2">
      <c r="A8" t="s">
        <v>94</v>
      </c>
      <c r="E8" s="127" t="s">
        <v>95</v>
      </c>
    </row>
    <row r="9" spans="1:7" x14ac:dyDescent="0.2">
      <c r="E9" s="127" t="s">
        <v>96</v>
      </c>
      <c r="G9" s="39" t="s">
        <v>97</v>
      </c>
    </row>
    <row r="10" spans="1:7" ht="3.95" customHeight="1" x14ac:dyDescent="0.2">
      <c r="A10" s="71"/>
      <c r="B10" s="71"/>
      <c r="C10" s="71"/>
      <c r="D10" s="71"/>
      <c r="E10" s="128"/>
      <c r="F10" s="128"/>
      <c r="G10" s="71"/>
    </row>
    <row r="11" spans="1:7" x14ac:dyDescent="0.2">
      <c r="A11" t="s">
        <v>98</v>
      </c>
    </row>
    <row r="12" spans="1:7" ht="15.75" x14ac:dyDescent="0.3">
      <c r="B12" t="s">
        <v>99</v>
      </c>
      <c r="E12" s="127" t="s">
        <v>100</v>
      </c>
      <c r="F12" s="127" t="s">
        <v>101</v>
      </c>
      <c r="G12" s="39" t="s">
        <v>102</v>
      </c>
    </row>
    <row r="13" spans="1:7" ht="15.75" x14ac:dyDescent="0.3">
      <c r="C13" t="s">
        <v>103</v>
      </c>
      <c r="E13" s="127" t="s">
        <v>100</v>
      </c>
      <c r="F13" s="127" t="s">
        <v>101</v>
      </c>
      <c r="G13" s="39" t="s">
        <v>104</v>
      </c>
    </row>
    <row r="14" spans="1:7" ht="15.75" x14ac:dyDescent="0.3">
      <c r="C14" t="s">
        <v>105</v>
      </c>
      <c r="E14" s="127" t="s">
        <v>100</v>
      </c>
      <c r="F14" s="127" t="s">
        <v>101</v>
      </c>
      <c r="G14" s="39" t="s">
        <v>106</v>
      </c>
    </row>
    <row r="15" spans="1:7" ht="3.95" customHeight="1" x14ac:dyDescent="0.2">
      <c r="A15" s="71"/>
      <c r="B15" s="71"/>
      <c r="C15" s="71"/>
      <c r="D15" s="71"/>
      <c r="E15" s="128"/>
      <c r="F15" s="128"/>
      <c r="G15" s="71"/>
    </row>
    <row r="16" spans="1:7" x14ac:dyDescent="0.2">
      <c r="A16" t="s">
        <v>107</v>
      </c>
    </row>
    <row r="17" spans="1:7" x14ac:dyDescent="0.2">
      <c r="B17" t="s">
        <v>108</v>
      </c>
      <c r="E17" s="129" t="s">
        <v>42</v>
      </c>
    </row>
    <row r="18" spans="1:7" x14ac:dyDescent="0.2">
      <c r="C18" t="s">
        <v>109</v>
      </c>
      <c r="E18" s="129" t="s">
        <v>42</v>
      </c>
    </row>
    <row r="19" spans="1:7" x14ac:dyDescent="0.2">
      <c r="C19" t="s">
        <v>110</v>
      </c>
      <c r="E19" s="129" t="s">
        <v>42</v>
      </c>
    </row>
    <row r="20" spans="1:7" ht="3.95" customHeight="1" x14ac:dyDescent="0.2">
      <c r="A20" s="71"/>
      <c r="B20" s="71"/>
      <c r="C20" s="71"/>
      <c r="D20" s="71"/>
      <c r="E20" s="128"/>
      <c r="F20" s="128"/>
      <c r="G20" s="71"/>
    </row>
    <row r="21" spans="1:7" ht="15.75" x14ac:dyDescent="0.3">
      <c r="A21" t="s">
        <v>111</v>
      </c>
      <c r="E21" s="127" t="s">
        <v>100</v>
      </c>
      <c r="F21" s="127" t="s">
        <v>112</v>
      </c>
      <c r="G21" s="39" t="s">
        <v>113</v>
      </c>
    </row>
    <row r="22" spans="1:7" ht="3.95" customHeight="1" x14ac:dyDescent="0.2">
      <c r="A22" s="71"/>
      <c r="B22" s="71"/>
      <c r="C22" s="71"/>
      <c r="D22" s="71"/>
      <c r="E22" s="128"/>
      <c r="F22" s="128"/>
      <c r="G22" s="71"/>
    </row>
    <row r="23" spans="1:7" x14ac:dyDescent="0.2">
      <c r="A23" t="s">
        <v>114</v>
      </c>
      <c r="E23" s="129" t="s">
        <v>42</v>
      </c>
    </row>
    <row r="24" spans="1:7" ht="3.95" customHeight="1" x14ac:dyDescent="0.2">
      <c r="A24" s="71"/>
      <c r="B24" s="71"/>
      <c r="C24" s="71"/>
      <c r="D24" s="71"/>
      <c r="E24" s="128"/>
      <c r="F24" s="128"/>
      <c r="G24" s="71"/>
    </row>
    <row r="26" spans="1:7" x14ac:dyDescent="0.2">
      <c r="A26" t="s">
        <v>115</v>
      </c>
    </row>
    <row r="29" spans="1:7" x14ac:dyDescent="0.2">
      <c r="A29" s="1" t="s">
        <v>116</v>
      </c>
    </row>
    <row r="30" spans="1:7" x14ac:dyDescent="0.2">
      <c r="A30" s="72" t="s">
        <v>117</v>
      </c>
    </row>
    <row r="33" spans="1:7" x14ac:dyDescent="0.2">
      <c r="A33" s="1" t="s">
        <v>118</v>
      </c>
      <c r="E33" s="127" t="s">
        <v>119</v>
      </c>
    </row>
    <row r="34" spans="1:7" ht="15.75" x14ac:dyDescent="0.3">
      <c r="A34" s="1"/>
      <c r="E34" s="130" t="s">
        <v>120</v>
      </c>
      <c r="G34" s="39" t="s">
        <v>121</v>
      </c>
    </row>
    <row r="35" spans="1:7" ht="15.75" x14ac:dyDescent="0.3">
      <c r="A35" s="1"/>
      <c r="E35" s="130" t="s">
        <v>122</v>
      </c>
      <c r="G35" s="39" t="s">
        <v>123</v>
      </c>
    </row>
    <row r="36" spans="1:7" x14ac:dyDescent="0.2">
      <c r="E36" s="127" t="s">
        <v>124</v>
      </c>
    </row>
    <row r="37" spans="1:7" x14ac:dyDescent="0.2">
      <c r="E37" s="127" t="s">
        <v>125</v>
      </c>
    </row>
    <row r="38" spans="1:7" x14ac:dyDescent="0.2">
      <c r="E38" s="127" t="s">
        <v>126</v>
      </c>
    </row>
    <row r="39" spans="1:7" ht="3.95" customHeight="1" x14ac:dyDescent="0.2">
      <c r="A39" s="71"/>
      <c r="B39" s="71"/>
      <c r="C39" s="71"/>
      <c r="D39" s="71"/>
      <c r="E39" s="128"/>
      <c r="F39" s="128"/>
      <c r="G39" s="71"/>
    </row>
    <row r="40" spans="1:7" x14ac:dyDescent="0.2">
      <c r="A40" s="1" t="s">
        <v>127</v>
      </c>
      <c r="E40" s="127" t="s">
        <v>119</v>
      </c>
    </row>
    <row r="41" spans="1:7" x14ac:dyDescent="0.2">
      <c r="E41" s="127" t="s">
        <v>124</v>
      </c>
    </row>
    <row r="42" spans="1:7" x14ac:dyDescent="0.2">
      <c r="E42" s="127" t="s">
        <v>128</v>
      </c>
    </row>
  </sheetData>
  <pageMargins left="0.7" right="0.7" top="0.75" bottom="0.75" header="0.3" footer="0.3"/>
  <pageSetup scale="9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J37"/>
  <sheetViews>
    <sheetView workbookViewId="0">
      <selection activeCell="K18" sqref="K18"/>
    </sheetView>
  </sheetViews>
  <sheetFormatPr defaultRowHeight="12.75" x14ac:dyDescent="0.2"/>
  <cols>
    <col min="4" max="4" width="9.7109375" customWidth="1"/>
    <col min="11" max="11" width="13"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138</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3.5" thickBot="1" x14ac:dyDescent="0.25">
      <c r="A6" s="1" t="s">
        <v>144</v>
      </c>
    </row>
    <row r="7" spans="1:10" ht="13.5" thickBot="1" x14ac:dyDescent="0.25">
      <c r="A7" s="2" t="s">
        <v>39</v>
      </c>
      <c r="B7" s="3" t="s">
        <v>145</v>
      </c>
      <c r="C7" s="3"/>
      <c r="D7" s="3"/>
      <c r="E7" s="3"/>
      <c r="F7" s="3"/>
      <c r="G7" s="3"/>
    </row>
    <row r="8" spans="1:10" x14ac:dyDescent="0.2">
      <c r="A8" s="4">
        <v>1</v>
      </c>
      <c r="B8" s="5" t="s">
        <v>146</v>
      </c>
      <c r="C8" s="5"/>
      <c r="D8" s="5"/>
      <c r="E8" s="5"/>
      <c r="F8" s="5"/>
      <c r="G8" s="5"/>
    </row>
    <row r="9" spans="1:10" x14ac:dyDescent="0.2">
      <c r="A9" s="80"/>
      <c r="B9" s="81" t="s">
        <v>147</v>
      </c>
      <c r="C9" s="81"/>
      <c r="D9" s="6"/>
      <c r="E9" s="6"/>
      <c r="F9" s="6"/>
      <c r="G9" s="6"/>
    </row>
    <row r="10" spans="1:10" x14ac:dyDescent="0.2">
      <c r="A10" s="82">
        <v>2</v>
      </c>
      <c r="B10" s="83"/>
      <c r="C10" s="83" t="s">
        <v>148</v>
      </c>
    </row>
    <row r="11" spans="1:10" ht="13.5" thickBot="1" x14ac:dyDescent="0.25">
      <c r="A11" s="84" t="s">
        <v>149</v>
      </c>
      <c r="B11" s="85"/>
      <c r="C11" s="85" t="s">
        <v>150</v>
      </c>
      <c r="D11" s="8"/>
      <c r="E11" s="8"/>
      <c r="F11" s="8"/>
      <c r="G11" s="8"/>
    </row>
    <row r="12" spans="1:10" x14ac:dyDescent="0.2">
      <c r="A12" s="7"/>
    </row>
    <row r="16" spans="1:10" x14ac:dyDescent="0.2">
      <c r="A16" s="1" t="s">
        <v>151</v>
      </c>
    </row>
    <row r="17" spans="1:7" x14ac:dyDescent="0.2">
      <c r="A17" s="60" t="s">
        <v>152</v>
      </c>
      <c r="B17" s="83" t="s">
        <v>153</v>
      </c>
    </row>
    <row r="18" spans="1:7" x14ac:dyDescent="0.2">
      <c r="B18" s="83" t="s">
        <v>154</v>
      </c>
    </row>
    <row r="20" spans="1:7" x14ac:dyDescent="0.2">
      <c r="A20" s="60" t="s">
        <v>155</v>
      </c>
      <c r="B20" s="83" t="s">
        <v>156</v>
      </c>
    </row>
    <row r="21" spans="1:7" x14ac:dyDescent="0.2">
      <c r="B21" s="9"/>
    </row>
    <row r="22" spans="1:7" x14ac:dyDescent="0.2">
      <c r="A22" s="60" t="s">
        <v>157</v>
      </c>
    </row>
    <row r="23" spans="1:7" x14ac:dyDescent="0.2">
      <c r="B23" t="s">
        <v>158</v>
      </c>
      <c r="D23" s="86" t="s">
        <v>159</v>
      </c>
      <c r="E23" s="5"/>
      <c r="F23" s="5"/>
      <c r="G23" s="5"/>
    </row>
    <row r="24" spans="1:7" x14ac:dyDescent="0.2">
      <c r="B24" t="s">
        <v>160</v>
      </c>
      <c r="D24" s="87" t="s">
        <v>161</v>
      </c>
      <c r="E24" s="16"/>
      <c r="F24" s="16"/>
      <c r="G24" s="16"/>
    </row>
    <row r="25" spans="1:7" x14ac:dyDescent="0.2">
      <c r="B25" t="s">
        <v>162</v>
      </c>
      <c r="D25" s="88" t="s">
        <v>163</v>
      </c>
      <c r="E25" s="16"/>
      <c r="F25" s="16"/>
      <c r="G25" s="16"/>
    </row>
    <row r="26" spans="1:7" x14ac:dyDescent="0.2">
      <c r="B26" t="s">
        <v>164</v>
      </c>
      <c r="D26" s="88" t="s">
        <v>165</v>
      </c>
      <c r="E26" s="16"/>
      <c r="F26" s="16"/>
      <c r="G26" s="16"/>
    </row>
    <row r="27" spans="1:7" x14ac:dyDescent="0.2">
      <c r="B27" t="s">
        <v>166</v>
      </c>
      <c r="D27" s="88" t="s">
        <v>167</v>
      </c>
      <c r="E27" s="16"/>
      <c r="F27" s="16"/>
      <c r="G27" s="16"/>
    </row>
    <row r="29" spans="1:7" x14ac:dyDescent="0.2">
      <c r="B29" t="s">
        <v>158</v>
      </c>
      <c r="D29" s="86" t="s">
        <v>168</v>
      </c>
      <c r="E29" s="5"/>
      <c r="F29" s="5"/>
      <c r="G29" s="5"/>
    </row>
    <row r="30" spans="1:7" x14ac:dyDescent="0.2">
      <c r="B30" t="s">
        <v>160</v>
      </c>
      <c r="D30" s="87" t="s">
        <v>169</v>
      </c>
      <c r="E30" s="16"/>
      <c r="F30" s="16"/>
      <c r="G30" s="16"/>
    </row>
    <row r="31" spans="1:7" x14ac:dyDescent="0.2">
      <c r="B31" t="s">
        <v>162</v>
      </c>
      <c r="D31" s="88" t="s">
        <v>170</v>
      </c>
      <c r="E31" s="16"/>
      <c r="F31" s="16"/>
      <c r="G31" s="16"/>
    </row>
    <row r="32" spans="1:7" x14ac:dyDescent="0.2">
      <c r="B32" t="s">
        <v>164</v>
      </c>
      <c r="D32" s="88" t="s">
        <v>171</v>
      </c>
      <c r="E32" s="16"/>
      <c r="F32" s="16"/>
      <c r="G32" s="16"/>
    </row>
    <row r="33" spans="1:9" x14ac:dyDescent="0.2">
      <c r="B33" t="s">
        <v>166</v>
      </c>
      <c r="D33" s="88" t="s">
        <v>172</v>
      </c>
      <c r="E33" s="16"/>
      <c r="F33" s="16"/>
      <c r="G33" s="16"/>
    </row>
    <row r="37" spans="1:9" x14ac:dyDescent="0.2">
      <c r="A37" s="1"/>
      <c r="I37" s="7"/>
    </row>
  </sheetData>
  <phoneticPr fontId="0" type="noConversion"/>
  <pageMargins left="1" right="1" top="1" bottom="1" header="0.5" footer="0.5"/>
  <pageSetup scale="80" orientation="portrait" r:id="rId1"/>
  <headerFooter alignWithMargins="0">
    <oddFooter>&amp;R&amp;F
&amp;A
&amp;D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J43"/>
  <sheetViews>
    <sheetView workbookViewId="0"/>
  </sheetViews>
  <sheetFormatPr defaultRowHeight="12.75" x14ac:dyDescent="0.2"/>
  <cols>
    <col min="1" max="10" width="9.2851562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173</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174</v>
      </c>
    </row>
    <row r="7" spans="1:10" ht="18" x14ac:dyDescent="0.25">
      <c r="A7" s="10" t="s">
        <v>148</v>
      </c>
    </row>
    <row r="8" spans="1:10" x14ac:dyDescent="0.2">
      <c r="A8" s="39"/>
    </row>
    <row r="9" spans="1:10" x14ac:dyDescent="0.2">
      <c r="A9" s="9" t="s">
        <v>175</v>
      </c>
      <c r="C9" s="11" t="s">
        <v>176</v>
      </c>
    </row>
    <row r="10" spans="1:10" x14ac:dyDescent="0.2">
      <c r="C10" s="11" t="s">
        <v>177</v>
      </c>
    </row>
    <row r="11" spans="1:10" x14ac:dyDescent="0.2">
      <c r="C11" s="11"/>
    </row>
    <row r="12" spans="1:10" x14ac:dyDescent="0.2">
      <c r="A12" t="s">
        <v>47</v>
      </c>
    </row>
    <row r="13" spans="1:10" ht="15.75" x14ac:dyDescent="0.3">
      <c r="A13" t="s">
        <v>178</v>
      </c>
      <c r="C13" s="39" t="s">
        <v>179</v>
      </c>
    </row>
    <row r="15" spans="1:10" ht="15.75" x14ac:dyDescent="0.3">
      <c r="A15" s="100" t="s">
        <v>180</v>
      </c>
      <c r="B15" t="s">
        <v>181</v>
      </c>
      <c r="C15" t="s">
        <v>182</v>
      </c>
    </row>
    <row r="16" spans="1:10" x14ac:dyDescent="0.2">
      <c r="A16" s="100" t="s">
        <v>183</v>
      </c>
      <c r="B16" t="s">
        <v>184</v>
      </c>
      <c r="C16" t="s">
        <v>185</v>
      </c>
    </row>
    <row r="17" spans="1:10" ht="15.75" x14ac:dyDescent="0.3">
      <c r="A17" s="100" t="s">
        <v>186</v>
      </c>
      <c r="B17" t="s">
        <v>184</v>
      </c>
      <c r="C17" t="s">
        <v>187</v>
      </c>
    </row>
    <row r="18" spans="1:10" ht="15.75" x14ac:dyDescent="0.3">
      <c r="A18" s="100" t="s">
        <v>188</v>
      </c>
      <c r="B18" t="s">
        <v>184</v>
      </c>
      <c r="C18" t="s">
        <v>189</v>
      </c>
    </row>
    <row r="19" spans="1:10" ht="15.75" x14ac:dyDescent="0.3">
      <c r="A19" s="100" t="s">
        <v>190</v>
      </c>
      <c r="C19" t="s">
        <v>191</v>
      </c>
    </row>
    <row r="20" spans="1:10" x14ac:dyDescent="0.2">
      <c r="A20" s="7"/>
    </row>
    <row r="22" spans="1:10" ht="18" x14ac:dyDescent="0.25">
      <c r="A22" s="10" t="s">
        <v>174</v>
      </c>
    </row>
    <row r="23" spans="1:10" ht="18" x14ac:dyDescent="0.25">
      <c r="A23" s="89" t="s">
        <v>192</v>
      </c>
    </row>
    <row r="25" spans="1:10" x14ac:dyDescent="0.2">
      <c r="A25" s="1" t="s">
        <v>193</v>
      </c>
      <c r="B25" s="5" t="s">
        <v>194</v>
      </c>
      <c r="C25" s="5"/>
      <c r="D25" s="5"/>
      <c r="E25" s="5"/>
      <c r="F25" s="5"/>
    </row>
    <row r="26" spans="1:10" x14ac:dyDescent="0.2">
      <c r="A26" s="1" t="s">
        <v>195</v>
      </c>
      <c r="B26" s="16" t="s">
        <v>196</v>
      </c>
      <c r="C26" s="16"/>
      <c r="D26" s="16"/>
      <c r="E26" s="16"/>
      <c r="F26" s="16"/>
    </row>
    <row r="27" spans="1:10" x14ac:dyDescent="0.2">
      <c r="A27" s="1" t="s">
        <v>197</v>
      </c>
      <c r="B27" s="16" t="s">
        <v>198</v>
      </c>
      <c r="C27" s="16"/>
      <c r="D27" s="16"/>
      <c r="E27" s="16"/>
      <c r="F27" s="16"/>
    </row>
    <row r="28" spans="1:10" x14ac:dyDescent="0.2">
      <c r="A28" s="7"/>
    </row>
    <row r="29" spans="1:10" x14ac:dyDescent="0.2">
      <c r="B29" s="19" t="s">
        <v>199</v>
      </c>
      <c r="C29" s="19" t="s">
        <v>112</v>
      </c>
      <c r="D29" s="19" t="s">
        <v>200</v>
      </c>
      <c r="F29" s="9" t="s">
        <v>201</v>
      </c>
      <c r="I29" s="60" t="s">
        <v>202</v>
      </c>
    </row>
    <row r="30" spans="1:10" ht="15.75" x14ac:dyDescent="0.3">
      <c r="A30" s="7" t="s">
        <v>190</v>
      </c>
      <c r="B30" s="73">
        <v>11.17</v>
      </c>
      <c r="C30" s="73">
        <v>11.17</v>
      </c>
      <c r="D30" s="73">
        <v>11.17</v>
      </c>
      <c r="F30" t="s">
        <v>203</v>
      </c>
      <c r="I30" s="5">
        <v>304.80060960122</v>
      </c>
      <c r="J30" t="s">
        <v>204</v>
      </c>
    </row>
    <row r="31" spans="1:10" x14ac:dyDescent="0.2">
      <c r="A31" s="7" t="s">
        <v>183</v>
      </c>
      <c r="B31" s="74">
        <v>2</v>
      </c>
      <c r="C31" s="74">
        <v>6.24</v>
      </c>
      <c r="D31" s="74">
        <v>3</v>
      </c>
      <c r="E31" t="s">
        <v>184</v>
      </c>
      <c r="F31" s="83" t="s">
        <v>205</v>
      </c>
    </row>
    <row r="32" spans="1:10" ht="15.75" x14ac:dyDescent="0.3">
      <c r="A32" s="7" t="s">
        <v>188</v>
      </c>
      <c r="B32" s="74">
        <v>1.35E-2</v>
      </c>
      <c r="C32" s="74">
        <v>1.35E-2</v>
      </c>
      <c r="D32" s="74">
        <v>1.35E-2</v>
      </c>
      <c r="E32" t="s">
        <v>184</v>
      </c>
      <c r="I32" s="58">
        <v>4.0999999999999996</v>
      </c>
      <c r="J32" t="s">
        <v>206</v>
      </c>
    </row>
    <row r="33" spans="1:10" x14ac:dyDescent="0.2">
      <c r="A33" s="7"/>
      <c r="I33" s="64">
        <f>I32/I30</f>
        <v>1.3451416666666631E-2</v>
      </c>
      <c r="J33" t="s">
        <v>184</v>
      </c>
    </row>
    <row r="34" spans="1:10" ht="16.5" thickBot="1" x14ac:dyDescent="0.35">
      <c r="A34" s="7" t="s">
        <v>180</v>
      </c>
      <c r="B34" s="59">
        <f>B30*B31^(1/6)*B32^(1/3)</f>
        <v>2.9854016044882776</v>
      </c>
      <c r="C34" s="59">
        <f>C30*C31^(1/6)*C32^(1/3)</f>
        <v>3.6087920793664501</v>
      </c>
      <c r="D34" s="59">
        <f>D30*D31^(1/6)*D32^(1/3)</f>
        <v>3.1941205658327352</v>
      </c>
      <c r="E34" t="s">
        <v>181</v>
      </c>
    </row>
    <row r="36" spans="1:10" x14ac:dyDescent="0.2">
      <c r="A36" s="7" t="s">
        <v>207</v>
      </c>
      <c r="B36" s="74">
        <v>2.2999999999999998</v>
      </c>
      <c r="C36" s="74">
        <v>4.8499999999999996</v>
      </c>
      <c r="D36" s="74">
        <v>2.5</v>
      </c>
      <c r="E36" t="s">
        <v>181</v>
      </c>
      <c r="F36" s="83" t="s">
        <v>208</v>
      </c>
    </row>
    <row r="38" spans="1:10" ht="15.75" x14ac:dyDescent="0.3">
      <c r="A38" t="s">
        <v>209</v>
      </c>
    </row>
    <row r="39" spans="1:10" ht="15.75" x14ac:dyDescent="0.3">
      <c r="A39" t="s">
        <v>210</v>
      </c>
    </row>
    <row r="40" spans="1:10" ht="13.5" thickBot="1" x14ac:dyDescent="0.25"/>
    <row r="41" spans="1:10" ht="13.5" thickBot="1" x14ac:dyDescent="0.25">
      <c r="B41" s="65" t="str">
        <f>IF(B34&lt;B36,"Live","Clear")</f>
        <v>Clear</v>
      </c>
      <c r="C41" s="66" t="str">
        <f>IF(C34&lt;C36,"Live","Clear")</f>
        <v>Live</v>
      </c>
      <c r="D41" s="67" t="str">
        <f>IF(D34&lt;D36,"Live","Clear")</f>
        <v>Clear</v>
      </c>
    </row>
    <row r="43" spans="1:10" x14ac:dyDescent="0.2">
      <c r="A43" s="60" t="s">
        <v>211</v>
      </c>
    </row>
  </sheetData>
  <phoneticPr fontId="17" type="noConversion"/>
  <pageMargins left="1" right="1" top="1" bottom="1" header="0.5" footer="0.5"/>
  <pageSetup scale="71" orientation="portrait" r:id="rId1"/>
  <headerFooter alignWithMargins="0">
    <oddFooter>&amp;R&amp;F
&amp;A
&amp;D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sheetPr>
  <dimension ref="A1:J90"/>
  <sheetViews>
    <sheetView workbookViewId="0"/>
  </sheetViews>
  <sheetFormatPr defaultRowHeight="12.75" x14ac:dyDescent="0.2"/>
  <cols>
    <col min="1" max="1" width="17.28515625" customWidth="1"/>
    <col min="2" max="4" width="9.7109375" customWidth="1"/>
    <col min="6" max="6" width="10.4257812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260</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261</v>
      </c>
    </row>
    <row r="7" spans="1:10" ht="18" x14ac:dyDescent="0.25">
      <c r="A7" s="10" t="s">
        <v>148</v>
      </c>
    </row>
    <row r="9" spans="1:10" x14ac:dyDescent="0.2">
      <c r="A9" s="9" t="s">
        <v>175</v>
      </c>
      <c r="B9" s="11" t="s">
        <v>176</v>
      </c>
    </row>
    <row r="10" spans="1:10" x14ac:dyDescent="0.2">
      <c r="B10" s="11" t="s">
        <v>177</v>
      </c>
    </row>
    <row r="11" spans="1:10" x14ac:dyDescent="0.2">
      <c r="A11" s="11"/>
    </row>
    <row r="12" spans="1:10" x14ac:dyDescent="0.2">
      <c r="A12" s="1" t="s">
        <v>219</v>
      </c>
    </row>
    <row r="13" spans="1:10" ht="12.75" customHeight="1" x14ac:dyDescent="0.2"/>
    <row r="14" spans="1:10" ht="15.75" x14ac:dyDescent="0.3">
      <c r="A14" s="100" t="s">
        <v>220</v>
      </c>
      <c r="B14" t="s">
        <v>184</v>
      </c>
      <c r="C14" t="s">
        <v>221</v>
      </c>
    </row>
    <row r="15" spans="1:10" ht="15.75" x14ac:dyDescent="0.3">
      <c r="A15" s="100" t="s">
        <v>222</v>
      </c>
      <c r="B15" t="s">
        <v>184</v>
      </c>
      <c r="C15" t="s">
        <v>223</v>
      </c>
    </row>
    <row r="16" spans="1:10" ht="15.75" x14ac:dyDescent="0.3">
      <c r="A16" s="100" t="s">
        <v>216</v>
      </c>
      <c r="B16" t="s">
        <v>184</v>
      </c>
      <c r="C16" t="s">
        <v>224</v>
      </c>
    </row>
    <row r="17" spans="1:3" ht="15.75" x14ac:dyDescent="0.3">
      <c r="A17" s="100" t="s">
        <v>225</v>
      </c>
      <c r="B17" t="s">
        <v>184</v>
      </c>
      <c r="C17" t="s">
        <v>262</v>
      </c>
    </row>
    <row r="18" spans="1:3" ht="15.75" x14ac:dyDescent="0.3">
      <c r="A18" s="100" t="s">
        <v>226</v>
      </c>
      <c r="B18" t="s">
        <v>227</v>
      </c>
      <c r="C18" t="s">
        <v>228</v>
      </c>
    </row>
    <row r="19" spans="1:3" ht="15.75" x14ac:dyDescent="0.3">
      <c r="A19" s="100" t="s">
        <v>229</v>
      </c>
      <c r="B19" t="s">
        <v>227</v>
      </c>
      <c r="C19" t="s">
        <v>230</v>
      </c>
    </row>
    <row r="20" spans="1:3" ht="15.75" x14ac:dyDescent="0.3">
      <c r="A20" s="100" t="s">
        <v>231</v>
      </c>
      <c r="B20" t="s">
        <v>184</v>
      </c>
      <c r="C20" t="s">
        <v>263</v>
      </c>
    </row>
    <row r="21" spans="1:3" ht="15.75" x14ac:dyDescent="0.3">
      <c r="A21" s="100" t="s">
        <v>232</v>
      </c>
      <c r="B21" t="s">
        <v>184</v>
      </c>
      <c r="C21" t="s">
        <v>264</v>
      </c>
    </row>
    <row r="22" spans="1:3" ht="15.75" x14ac:dyDescent="0.3">
      <c r="A22" s="100" t="s">
        <v>217</v>
      </c>
      <c r="C22" t="s">
        <v>233</v>
      </c>
    </row>
    <row r="23" spans="1:3" ht="15.75" customHeight="1" x14ac:dyDescent="0.3">
      <c r="A23" s="175" t="s">
        <v>265</v>
      </c>
      <c r="B23" t="s">
        <v>184</v>
      </c>
      <c r="C23" s="39" t="s">
        <v>266</v>
      </c>
    </row>
    <row r="24" spans="1:3" ht="15.75" customHeight="1" x14ac:dyDescent="0.3">
      <c r="A24" s="175" t="s">
        <v>267</v>
      </c>
      <c r="B24" t="s">
        <v>184</v>
      </c>
      <c r="C24" s="39" t="s">
        <v>268</v>
      </c>
    </row>
    <row r="25" spans="1:3" ht="15.75" customHeight="1" x14ac:dyDescent="0.2">
      <c r="A25" s="175" t="s">
        <v>269</v>
      </c>
      <c r="B25" t="s">
        <v>184</v>
      </c>
      <c r="C25" s="39" t="s">
        <v>270</v>
      </c>
    </row>
    <row r="26" spans="1:3" ht="15.75" customHeight="1" x14ac:dyDescent="0.3">
      <c r="A26" s="175" t="s">
        <v>63</v>
      </c>
      <c r="B26" t="s">
        <v>184</v>
      </c>
      <c r="C26" s="39" t="s">
        <v>271</v>
      </c>
    </row>
    <row r="27" spans="1:3" ht="15.75" customHeight="1" x14ac:dyDescent="0.3">
      <c r="A27" s="175" t="s">
        <v>64</v>
      </c>
      <c r="B27" t="s">
        <v>184</v>
      </c>
      <c r="C27" s="39" t="s">
        <v>272</v>
      </c>
    </row>
    <row r="28" spans="1:3" x14ac:dyDescent="0.2">
      <c r="A28" s="14" t="s">
        <v>273</v>
      </c>
    </row>
    <row r="29" spans="1:3" x14ac:dyDescent="0.2">
      <c r="A29" s="14"/>
    </row>
    <row r="30" spans="1:3" ht="15.75" x14ac:dyDescent="0.3">
      <c r="A30" t="s">
        <v>234</v>
      </c>
      <c r="C30" s="39" t="s">
        <v>235</v>
      </c>
    </row>
    <row r="32" spans="1:3" ht="16.5" thickBot="1" x14ac:dyDescent="0.35">
      <c r="A32" s="13" t="s">
        <v>222</v>
      </c>
      <c r="B32" s="8" t="s">
        <v>184</v>
      </c>
    </row>
    <row r="36" spans="1:6" x14ac:dyDescent="0.2">
      <c r="A36" s="7"/>
    </row>
    <row r="37" spans="1:6" ht="18" x14ac:dyDescent="0.25">
      <c r="A37" s="10" t="s">
        <v>261</v>
      </c>
    </row>
    <row r="38" spans="1:6" ht="18" x14ac:dyDescent="0.25">
      <c r="A38" s="89" t="s">
        <v>274</v>
      </c>
    </row>
    <row r="39" spans="1:6" s="15" customFormat="1" x14ac:dyDescent="0.2">
      <c r="A39" s="39"/>
      <c r="B39" s="39"/>
      <c r="C39" s="39"/>
      <c r="D39" s="39"/>
      <c r="E39" s="39"/>
      <c r="F39" s="39"/>
    </row>
    <row r="40" spans="1:6" s="15" customFormat="1" x14ac:dyDescent="0.2">
      <c r="A40" s="9" t="s">
        <v>175</v>
      </c>
      <c r="B40" s="11" t="s">
        <v>275</v>
      </c>
      <c r="C40" s="39"/>
      <c r="D40" s="39"/>
      <c r="E40" s="39"/>
      <c r="F40" s="39"/>
    </row>
    <row r="41" spans="1:6" s="15" customFormat="1" x14ac:dyDescent="0.2">
      <c r="A41"/>
      <c r="B41" s="11" t="s">
        <v>276</v>
      </c>
      <c r="C41" s="39"/>
      <c r="D41" s="39"/>
      <c r="E41" s="39"/>
      <c r="F41" s="39"/>
    </row>
    <row r="42" spans="1:6" s="15" customFormat="1" x14ac:dyDescent="0.2">
      <c r="A42" s="11"/>
      <c r="B42" s="39"/>
      <c r="C42" s="39"/>
      <c r="D42" s="39"/>
      <c r="E42" s="39"/>
      <c r="F42" s="39"/>
    </row>
    <row r="43" spans="1:6" x14ac:dyDescent="0.2">
      <c r="A43" s="1" t="s">
        <v>193</v>
      </c>
      <c r="B43" s="86" t="s">
        <v>277</v>
      </c>
      <c r="C43" s="5"/>
      <c r="D43" s="5"/>
      <c r="E43" s="5"/>
      <c r="F43" s="5"/>
    </row>
    <row r="44" spans="1:6" x14ac:dyDescent="0.2">
      <c r="A44" s="1" t="s">
        <v>195</v>
      </c>
      <c r="B44" s="88" t="s">
        <v>278</v>
      </c>
      <c r="C44" s="16"/>
      <c r="D44" s="16"/>
      <c r="E44" s="16"/>
      <c r="F44" s="16"/>
    </row>
    <row r="45" spans="1:6" x14ac:dyDescent="0.2">
      <c r="A45" s="1" t="s">
        <v>236</v>
      </c>
      <c r="B45" s="88" t="s">
        <v>279</v>
      </c>
      <c r="C45" s="16"/>
      <c r="D45" s="16"/>
      <c r="E45" s="16"/>
      <c r="F45" s="16"/>
    </row>
    <row r="46" spans="1:6" x14ac:dyDescent="0.2">
      <c r="A46" s="1" t="s">
        <v>237</v>
      </c>
      <c r="B46" s="86" t="s">
        <v>280</v>
      </c>
      <c r="C46" s="5"/>
      <c r="D46" s="5"/>
      <c r="E46" s="5"/>
      <c r="F46" s="5"/>
    </row>
    <row r="47" spans="1:6" x14ac:dyDescent="0.2">
      <c r="A47" s="1" t="s">
        <v>238</v>
      </c>
      <c r="B47" s="88" t="s">
        <v>103</v>
      </c>
      <c r="C47" s="16"/>
      <c r="D47" s="16"/>
      <c r="E47" s="16"/>
      <c r="F47" s="16"/>
    </row>
    <row r="48" spans="1:6" x14ac:dyDescent="0.2">
      <c r="A48" s="1"/>
      <c r="B48" s="88" t="s">
        <v>239</v>
      </c>
      <c r="C48" s="16"/>
      <c r="D48" s="16"/>
      <c r="E48" s="16"/>
      <c r="F48" s="16"/>
    </row>
    <row r="49" spans="1:6" x14ac:dyDescent="0.2">
      <c r="A49" s="1" t="s">
        <v>281</v>
      </c>
      <c r="B49" s="88"/>
      <c r="C49" s="16"/>
      <c r="D49" s="16"/>
      <c r="E49" s="16"/>
      <c r="F49" s="16"/>
    </row>
    <row r="50" spans="1:6" x14ac:dyDescent="0.2">
      <c r="A50" s="1"/>
    </row>
    <row r="51" spans="1:6" x14ac:dyDescent="0.2">
      <c r="A51" s="1" t="s">
        <v>257</v>
      </c>
      <c r="B51" s="91"/>
      <c r="C51" s="5"/>
      <c r="D51" s="5"/>
    </row>
    <row r="52" spans="1:6" ht="12.75" customHeight="1" x14ac:dyDescent="0.2">
      <c r="A52" s="1" t="s">
        <v>258</v>
      </c>
      <c r="B52" s="92"/>
      <c r="C52" s="16"/>
      <c r="D52" s="16"/>
    </row>
    <row r="53" spans="1:6" ht="12.75" customHeight="1" x14ac:dyDescent="0.2"/>
    <row r="54" spans="1:6" ht="12.75" customHeight="1" x14ac:dyDescent="0.2">
      <c r="A54" s="1" t="s">
        <v>219</v>
      </c>
    </row>
    <row r="55" spans="1:6" ht="12.75" customHeight="1" x14ac:dyDescent="0.2"/>
    <row r="56" spans="1:6" ht="12.75" customHeight="1" x14ac:dyDescent="0.2">
      <c r="B56" s="19" t="s">
        <v>199</v>
      </c>
      <c r="C56" s="19" t="s">
        <v>112</v>
      </c>
      <c r="D56" s="19" t="s">
        <v>200</v>
      </c>
      <c r="F56" s="9" t="s">
        <v>201</v>
      </c>
    </row>
    <row r="57" spans="1:6" ht="15.75" x14ac:dyDescent="0.3">
      <c r="A57" s="93" t="s">
        <v>220</v>
      </c>
      <c r="B57" s="27"/>
      <c r="C57" s="27"/>
      <c r="D57" s="27"/>
      <c r="E57" t="s">
        <v>184</v>
      </c>
    </row>
    <row r="58" spans="1:6" ht="15.75" x14ac:dyDescent="0.3">
      <c r="A58" s="94" t="s">
        <v>222</v>
      </c>
      <c r="B58" s="27"/>
      <c r="C58" s="27"/>
      <c r="D58" s="27"/>
      <c r="E58" t="s">
        <v>184</v>
      </c>
    </row>
    <row r="59" spans="1:6" ht="15.75" x14ac:dyDescent="0.3">
      <c r="A59" s="94" t="s">
        <v>216</v>
      </c>
      <c r="B59" s="125"/>
      <c r="C59" s="125"/>
      <c r="D59" s="125"/>
      <c r="E59" t="s">
        <v>184</v>
      </c>
      <c r="F59" s="83" t="s">
        <v>240</v>
      </c>
    </row>
    <row r="60" spans="1:6" ht="15.75" x14ac:dyDescent="0.3">
      <c r="A60" s="94" t="s">
        <v>225</v>
      </c>
      <c r="B60" s="96"/>
      <c r="C60" s="96">
        <v>4.2</v>
      </c>
      <c r="D60" s="96"/>
      <c r="E60" t="s">
        <v>184</v>
      </c>
      <c r="F60" s="83" t="s">
        <v>241</v>
      </c>
    </row>
    <row r="61" spans="1:6" ht="15.75" x14ac:dyDescent="0.3">
      <c r="A61" s="94" t="s">
        <v>226</v>
      </c>
      <c r="B61" s="97"/>
      <c r="C61" s="97">
        <v>2000</v>
      </c>
      <c r="D61" s="97"/>
      <c r="E61" t="s">
        <v>227</v>
      </c>
      <c r="F61" s="83" t="s">
        <v>242</v>
      </c>
    </row>
    <row r="62" spans="1:6" ht="15.75" x14ac:dyDescent="0.3">
      <c r="A62" s="94" t="s">
        <v>229</v>
      </c>
      <c r="B62" s="97"/>
      <c r="C62" s="97">
        <v>2800</v>
      </c>
      <c r="D62" s="97"/>
      <c r="E62" t="s">
        <v>227</v>
      </c>
      <c r="F62" s="83" t="s">
        <v>243</v>
      </c>
    </row>
    <row r="63" spans="1:6" ht="15.75" x14ac:dyDescent="0.3">
      <c r="A63" s="94" t="s">
        <v>231</v>
      </c>
      <c r="B63" s="96"/>
      <c r="C63" s="96">
        <v>40</v>
      </c>
      <c r="D63" s="96"/>
      <c r="E63" t="s">
        <v>184</v>
      </c>
      <c r="F63" s="83" t="s">
        <v>244</v>
      </c>
    </row>
    <row r="64" spans="1:6" ht="15.75" x14ac:dyDescent="0.3">
      <c r="A64" s="94" t="s">
        <v>232</v>
      </c>
      <c r="B64" s="96"/>
      <c r="C64" s="96">
        <v>40</v>
      </c>
      <c r="D64" s="96"/>
      <c r="E64" t="s">
        <v>184</v>
      </c>
      <c r="F64" s="83" t="s">
        <v>282</v>
      </c>
    </row>
    <row r="65" spans="1:6" ht="15.75" x14ac:dyDescent="0.3">
      <c r="A65" s="94" t="s">
        <v>217</v>
      </c>
      <c r="B65" s="97"/>
      <c r="C65" s="97">
        <v>0.69</v>
      </c>
      <c r="D65" s="97"/>
      <c r="F65" s="39" t="s">
        <v>283</v>
      </c>
    </row>
    <row r="66" spans="1:6" ht="15.75" x14ac:dyDescent="0.3">
      <c r="A66" s="175" t="s">
        <v>265</v>
      </c>
      <c r="B66" s="173"/>
      <c r="C66" s="173">
        <v>10</v>
      </c>
      <c r="D66" s="173"/>
      <c r="F66" s="9"/>
    </row>
    <row r="67" spans="1:6" ht="15.75" x14ac:dyDescent="0.3">
      <c r="A67" s="175" t="s">
        <v>267</v>
      </c>
      <c r="B67" s="173"/>
      <c r="C67" s="173">
        <v>8</v>
      </c>
      <c r="D67" s="173"/>
      <c r="E67" t="s">
        <v>184</v>
      </c>
      <c r="F67" s="9"/>
    </row>
    <row r="68" spans="1:6" x14ac:dyDescent="0.2">
      <c r="A68" s="175" t="s">
        <v>269</v>
      </c>
      <c r="B68" s="173"/>
      <c r="C68" s="173">
        <v>3</v>
      </c>
      <c r="D68" s="173"/>
      <c r="E68" t="s">
        <v>184</v>
      </c>
      <c r="F68" s="9"/>
    </row>
    <row r="69" spans="1:6" ht="15.75" x14ac:dyDescent="0.3">
      <c r="A69" s="175" t="s">
        <v>63</v>
      </c>
      <c r="B69" s="176">
        <f>B66-B67</f>
        <v>0</v>
      </c>
      <c r="C69" s="176">
        <f>C66-C67</f>
        <v>2</v>
      </c>
      <c r="D69" s="176">
        <f>D66-D67</f>
        <v>0</v>
      </c>
      <c r="E69" s="39" t="s">
        <v>184</v>
      </c>
      <c r="F69" s="39" t="s">
        <v>284</v>
      </c>
    </row>
    <row r="70" spans="1:6" ht="15.75" x14ac:dyDescent="0.3">
      <c r="A70" s="175" t="s">
        <v>64</v>
      </c>
      <c r="B70" s="176">
        <f>IF(B69&gt;B68,B69-B68,0)</f>
        <v>0</v>
      </c>
      <c r="C70" s="176">
        <f>IF(C69&gt;C68,C69-C68,0)</f>
        <v>0</v>
      </c>
      <c r="D70" s="176">
        <f>IF(D69&gt;D68,D69-D68,0)</f>
        <v>0</v>
      </c>
      <c r="F70" s="39" t="s">
        <v>285</v>
      </c>
    </row>
    <row r="73" spans="1:6" ht="15.75" x14ac:dyDescent="0.3">
      <c r="A73" t="s">
        <v>234</v>
      </c>
      <c r="F73" s="39" t="s">
        <v>235</v>
      </c>
    </row>
    <row r="74" spans="1:6" ht="13.5" thickBot="1" x14ac:dyDescent="0.25"/>
    <row r="75" spans="1:6" ht="16.5" thickBot="1" x14ac:dyDescent="0.35">
      <c r="A75" s="55" t="s">
        <v>222</v>
      </c>
      <c r="B75" s="56" t="e">
        <f>B59*(B62/B61)^(6/7)*(B63/B64)^B65</f>
        <v>#DIV/0!</v>
      </c>
      <c r="C75" s="123">
        <f>C66*(C62/C61)^(6/7)*(C63/C64)^C65</f>
        <v>13.342972840091168</v>
      </c>
      <c r="D75" s="56" t="e">
        <f>D59*(D62/D61)^(6/7)*(D63/D64)^D65</f>
        <v>#DIV/0!</v>
      </c>
      <c r="E75" s="44" t="s">
        <v>184</v>
      </c>
    </row>
    <row r="76" spans="1:6" x14ac:dyDescent="0.2">
      <c r="B76" s="18"/>
      <c r="C76" s="18"/>
      <c r="D76" s="18"/>
    </row>
    <row r="77" spans="1:6" ht="15.75" x14ac:dyDescent="0.3">
      <c r="A77" s="39" t="s">
        <v>286</v>
      </c>
      <c r="B77" s="50"/>
      <c r="C77" s="50"/>
      <c r="D77" s="50"/>
      <c r="F77" s="39" t="s">
        <v>287</v>
      </c>
    </row>
    <row r="78" spans="1:6" ht="13.5" thickBot="1" x14ac:dyDescent="0.25">
      <c r="A78" s="39"/>
      <c r="B78" s="50"/>
      <c r="C78" s="50"/>
      <c r="D78" s="50"/>
      <c r="F78" s="39"/>
    </row>
    <row r="79" spans="1:6" ht="13.5" thickBot="1" x14ac:dyDescent="0.25">
      <c r="A79" s="177" t="s">
        <v>288</v>
      </c>
      <c r="B79" s="43" t="e">
        <f>0.5*((B64*B66)/B63^2)^0.2*(1-B67/B66)^(-0.1)*B64</f>
        <v>#DIV/0!</v>
      </c>
      <c r="C79" s="43">
        <f>0.5*((C67*C69)/C66^2)^0.2*(1-C70/C69)^(-0.1)*C67</f>
        <v>2.7725793726205854</v>
      </c>
      <c r="D79" s="43" t="e">
        <f>0.5*((D64*D66)/D63^2)^0.2*(1-D67/D66)^(-0.1)*D64</f>
        <v>#DIV/0!</v>
      </c>
      <c r="E79" s="178" t="s">
        <v>184</v>
      </c>
      <c r="F79" s="39"/>
    </row>
    <row r="80" spans="1:6" x14ac:dyDescent="0.2">
      <c r="B80" s="18"/>
      <c r="C80" s="18"/>
      <c r="D80" s="18"/>
    </row>
    <row r="81" spans="1:6" ht="15.75" x14ac:dyDescent="0.3">
      <c r="A81" s="39" t="s">
        <v>289</v>
      </c>
      <c r="B81" s="50"/>
      <c r="C81" s="50"/>
      <c r="D81" s="50"/>
      <c r="F81" s="39" t="s">
        <v>290</v>
      </c>
    </row>
    <row r="82" spans="1:6" ht="13.5" thickBot="1" x14ac:dyDescent="0.25">
      <c r="B82" s="50"/>
      <c r="C82" s="50"/>
      <c r="D82" s="50"/>
    </row>
    <row r="83" spans="1:6" ht="16.5" thickBot="1" x14ac:dyDescent="0.35">
      <c r="A83" s="55" t="s">
        <v>220</v>
      </c>
      <c r="B83" s="43" t="e">
        <f>B75+B79-B67</f>
        <v>#DIV/0!</v>
      </c>
      <c r="C83" s="43">
        <f>C75+C79-C67</f>
        <v>8.115552212711755</v>
      </c>
      <c r="D83" s="43" t="e">
        <f>D75+D79-D67</f>
        <v>#DIV/0!</v>
      </c>
      <c r="E83" s="44" t="s">
        <v>184</v>
      </c>
    </row>
    <row r="87" spans="1:6" x14ac:dyDescent="0.2">
      <c r="A87" s="9" t="s">
        <v>259</v>
      </c>
    </row>
    <row r="88" spans="1:6" x14ac:dyDescent="0.2">
      <c r="A88" s="1"/>
    </row>
    <row r="89" spans="1:6" x14ac:dyDescent="0.2">
      <c r="A89" s="1"/>
    </row>
    <row r="90" spans="1:6" x14ac:dyDescent="0.2">
      <c r="A90" s="1"/>
    </row>
  </sheetData>
  <pageMargins left="1" right="1" top="1" bottom="1" header="0.5" footer="0.5"/>
  <pageSetup scale="71" orientation="portrait" r:id="rId1"/>
  <headerFooter alignWithMargins="0">
    <oddFooter>&amp;R&amp;F
&amp;A
&amp;D</oddFooter>
  </headerFooter>
  <rowBreaks count="1" manualBreakCount="1">
    <brk id="35"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sheetPr>
  <dimension ref="A1:J75"/>
  <sheetViews>
    <sheetView workbookViewId="0"/>
  </sheetViews>
  <sheetFormatPr defaultRowHeight="12.75" x14ac:dyDescent="0.2"/>
  <cols>
    <col min="1" max="1" width="17.28515625" customWidth="1"/>
    <col min="2" max="2" width="8.5703125" customWidth="1"/>
    <col min="6" max="6" width="10.4257812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260</v>
      </c>
      <c r="E3" s="16"/>
      <c r="F3" s="16"/>
      <c r="G3" s="77" t="s">
        <v>139</v>
      </c>
      <c r="H3" s="132">
        <v>1</v>
      </c>
      <c r="I3" s="77" t="s">
        <v>140</v>
      </c>
      <c r="J3" s="132" t="s">
        <v>141</v>
      </c>
    </row>
    <row r="4" spans="1:10" x14ac:dyDescent="0.2">
      <c r="C4" s="77" t="s">
        <v>142</v>
      </c>
      <c r="D4" s="135">
        <v>0</v>
      </c>
      <c r="E4" s="16"/>
      <c r="F4" s="16"/>
      <c r="G4" s="77" t="s">
        <v>143</v>
      </c>
      <c r="H4" s="136">
        <v>0</v>
      </c>
      <c r="I4" s="79"/>
      <c r="J4" s="132"/>
    </row>
    <row r="6" spans="1:10" x14ac:dyDescent="0.2">
      <c r="A6" s="7"/>
    </row>
    <row r="7" spans="1:10" ht="18" x14ac:dyDescent="0.25">
      <c r="A7" s="10" t="s">
        <v>291</v>
      </c>
    </row>
    <row r="8" spans="1:10" ht="18" x14ac:dyDescent="0.25">
      <c r="A8" s="89" t="s">
        <v>274</v>
      </c>
      <c r="B8" s="83"/>
      <c r="C8" s="83"/>
      <c r="D8" s="83"/>
      <c r="E8" s="83"/>
    </row>
    <row r="9" spans="1:10" s="15" customFormat="1" x14ac:dyDescent="0.2">
      <c r="A9" s="39"/>
      <c r="B9" s="39"/>
      <c r="C9" s="39"/>
      <c r="D9" s="39"/>
      <c r="E9" s="39"/>
      <c r="F9" s="39"/>
      <c r="G9" s="39"/>
      <c r="H9" s="39"/>
      <c r="I9" s="39"/>
      <c r="J9" s="39"/>
    </row>
    <row r="10" spans="1:10" s="15" customFormat="1" x14ac:dyDescent="0.2">
      <c r="A10" s="9" t="s">
        <v>175</v>
      </c>
      <c r="B10" s="11" t="s">
        <v>176</v>
      </c>
      <c r="C10" s="39"/>
      <c r="D10" s="39"/>
      <c r="E10" s="39"/>
      <c r="F10" s="39"/>
      <c r="G10" s="39"/>
      <c r="H10" s="39"/>
      <c r="I10" s="39"/>
      <c r="J10" s="39"/>
    </row>
    <row r="11" spans="1:10" s="15" customFormat="1" x14ac:dyDescent="0.2">
      <c r="A11"/>
      <c r="B11" s="11" t="s">
        <v>177</v>
      </c>
      <c r="C11" s="39"/>
      <c r="D11" s="39"/>
      <c r="E11" s="39"/>
      <c r="F11" s="39"/>
      <c r="G11" s="39"/>
      <c r="H11" s="39"/>
      <c r="I11" s="39"/>
      <c r="J11" s="39"/>
    </row>
    <row r="12" spans="1:10" s="15" customFormat="1" x14ac:dyDescent="0.2">
      <c r="A12" s="11"/>
      <c r="B12" s="39"/>
      <c r="C12" s="39"/>
      <c r="D12" s="39"/>
      <c r="E12" s="39"/>
      <c r="F12" s="39"/>
      <c r="G12" s="39"/>
      <c r="H12" s="39"/>
      <c r="I12" s="39"/>
      <c r="J12" s="39"/>
    </row>
    <row r="13" spans="1:10" x14ac:dyDescent="0.2">
      <c r="A13" s="1" t="s">
        <v>193</v>
      </c>
      <c r="B13" s="86" t="s">
        <v>277</v>
      </c>
      <c r="C13" s="5"/>
      <c r="D13" s="5"/>
      <c r="E13" s="5"/>
      <c r="F13" s="5"/>
    </row>
    <row r="14" spans="1:10" x14ac:dyDescent="0.2">
      <c r="A14" s="1" t="s">
        <v>195</v>
      </c>
      <c r="B14" s="88" t="s">
        <v>278</v>
      </c>
      <c r="C14" s="16"/>
      <c r="D14" s="16"/>
      <c r="E14" s="16"/>
      <c r="F14" s="16"/>
    </row>
    <row r="15" spans="1:10" x14ac:dyDescent="0.2">
      <c r="A15" s="1" t="s">
        <v>236</v>
      </c>
      <c r="B15" s="88" t="s">
        <v>279</v>
      </c>
      <c r="C15" s="16"/>
      <c r="D15" s="16"/>
      <c r="E15" s="16"/>
      <c r="F15" s="16"/>
    </row>
    <row r="16" spans="1:10" x14ac:dyDescent="0.2">
      <c r="A16" s="1" t="s">
        <v>237</v>
      </c>
      <c r="B16" s="86" t="s">
        <v>280</v>
      </c>
      <c r="C16" s="5"/>
      <c r="D16" s="5"/>
      <c r="E16" s="5"/>
      <c r="F16" s="5"/>
    </row>
    <row r="17" spans="1:6" x14ac:dyDescent="0.2">
      <c r="A17" s="1" t="s">
        <v>238</v>
      </c>
      <c r="B17" s="88" t="s">
        <v>105</v>
      </c>
      <c r="C17" s="16"/>
      <c r="D17" s="16"/>
      <c r="E17" s="16"/>
      <c r="F17" s="16"/>
    </row>
    <row r="18" spans="1:6" x14ac:dyDescent="0.2">
      <c r="A18" s="1"/>
      <c r="B18" s="88" t="s">
        <v>239</v>
      </c>
      <c r="C18" s="16"/>
      <c r="D18" s="16"/>
      <c r="E18" s="16"/>
      <c r="F18" s="16"/>
    </row>
    <row r="19" spans="1:6" x14ac:dyDescent="0.2">
      <c r="A19" s="1" t="s">
        <v>281</v>
      </c>
      <c r="B19" s="88"/>
      <c r="C19" s="16"/>
      <c r="D19" s="16"/>
      <c r="E19" s="16"/>
      <c r="F19" s="16"/>
    </row>
    <row r="20" spans="1:6" x14ac:dyDescent="0.2">
      <c r="A20" s="1"/>
    </row>
    <row r="21" spans="1:6" x14ac:dyDescent="0.2">
      <c r="A21" s="1" t="s">
        <v>257</v>
      </c>
      <c r="B21" s="91"/>
      <c r="C21" s="5"/>
      <c r="D21" s="5"/>
    </row>
    <row r="22" spans="1:6" ht="12.75" customHeight="1" x14ac:dyDescent="0.2">
      <c r="A22" s="1" t="s">
        <v>258</v>
      </c>
      <c r="B22" s="92"/>
      <c r="C22" s="16"/>
      <c r="D22" s="16"/>
    </row>
    <row r="23" spans="1:6" ht="12.75" customHeight="1" x14ac:dyDescent="0.2"/>
    <row r="24" spans="1:6" x14ac:dyDescent="0.2">
      <c r="A24" s="1" t="s">
        <v>292</v>
      </c>
      <c r="D24" s="39"/>
    </row>
    <row r="26" spans="1:6" ht="15.75" x14ac:dyDescent="0.3">
      <c r="A26" s="100" t="s">
        <v>220</v>
      </c>
      <c r="B26" t="s">
        <v>184</v>
      </c>
      <c r="C26" t="s">
        <v>221</v>
      </c>
    </row>
    <row r="27" spans="1:6" ht="15.75" x14ac:dyDescent="0.3">
      <c r="A27" s="100" t="s">
        <v>222</v>
      </c>
      <c r="B27" t="s">
        <v>184</v>
      </c>
      <c r="C27" t="s">
        <v>245</v>
      </c>
    </row>
    <row r="28" spans="1:6" x14ac:dyDescent="0.2">
      <c r="A28" s="100" t="s">
        <v>246</v>
      </c>
      <c r="B28" t="s">
        <v>227</v>
      </c>
      <c r="C28" t="s">
        <v>247</v>
      </c>
    </row>
    <row r="29" spans="1:6" x14ac:dyDescent="0.2">
      <c r="A29" s="102"/>
      <c r="D29" t="s">
        <v>248</v>
      </c>
    </row>
    <row r="30" spans="1:6" ht="15.75" x14ac:dyDescent="0.3">
      <c r="A30" s="100" t="s">
        <v>57</v>
      </c>
      <c r="B30" t="s">
        <v>184</v>
      </c>
      <c r="C30" t="s">
        <v>293</v>
      </c>
    </row>
    <row r="31" spans="1:6" ht="15.75" x14ac:dyDescent="0.3">
      <c r="A31" s="100" t="s">
        <v>188</v>
      </c>
      <c r="B31" t="s">
        <v>184</v>
      </c>
      <c r="C31" t="s">
        <v>249</v>
      </c>
    </row>
    <row r="32" spans="1:6" x14ac:dyDescent="0.2">
      <c r="A32" s="100" t="s">
        <v>250</v>
      </c>
      <c r="B32" t="s">
        <v>184</v>
      </c>
      <c r="C32" t="s">
        <v>294</v>
      </c>
    </row>
    <row r="33" spans="1:6" ht="15.75" customHeight="1" x14ac:dyDescent="0.3">
      <c r="A33" s="100" t="s">
        <v>225</v>
      </c>
      <c r="B33" t="s">
        <v>184</v>
      </c>
      <c r="C33" t="s">
        <v>251</v>
      </c>
    </row>
    <row r="34" spans="1:6" ht="15.75" customHeight="1" x14ac:dyDescent="0.3">
      <c r="A34" s="175" t="s">
        <v>265</v>
      </c>
      <c r="B34" t="s">
        <v>184</v>
      </c>
      <c r="C34" s="39" t="s">
        <v>266</v>
      </c>
    </row>
    <row r="35" spans="1:6" ht="15.75" customHeight="1" x14ac:dyDescent="0.3">
      <c r="A35" s="175" t="s">
        <v>267</v>
      </c>
      <c r="B35" t="s">
        <v>184</v>
      </c>
      <c r="C35" s="39" t="s">
        <v>268</v>
      </c>
    </row>
    <row r="36" spans="1:6" ht="15.75" customHeight="1" x14ac:dyDescent="0.2">
      <c r="A36" s="175" t="s">
        <v>269</v>
      </c>
      <c r="B36" t="s">
        <v>184</v>
      </c>
      <c r="C36" s="39" t="s">
        <v>270</v>
      </c>
    </row>
    <row r="37" spans="1:6" ht="15.75" customHeight="1" x14ac:dyDescent="0.3">
      <c r="A37" s="175" t="s">
        <v>63</v>
      </c>
      <c r="B37" t="s">
        <v>184</v>
      </c>
      <c r="C37" s="39" t="s">
        <v>271</v>
      </c>
    </row>
    <row r="38" spans="1:6" ht="15.75" customHeight="1" x14ac:dyDescent="0.3">
      <c r="A38" s="175" t="s">
        <v>64</v>
      </c>
      <c r="B38" t="s">
        <v>184</v>
      </c>
      <c r="C38" s="39" t="s">
        <v>272</v>
      </c>
    </row>
    <row r="39" spans="1:6" ht="15.75" x14ac:dyDescent="0.3">
      <c r="A39" s="100" t="s">
        <v>190</v>
      </c>
      <c r="C39" t="s">
        <v>252</v>
      </c>
    </row>
    <row r="41" spans="1:6" x14ac:dyDescent="0.2">
      <c r="B41" s="19" t="s">
        <v>199</v>
      </c>
      <c r="C41" s="19" t="s">
        <v>112</v>
      </c>
      <c r="D41" s="19" t="s">
        <v>200</v>
      </c>
      <c r="F41" s="9" t="s">
        <v>201</v>
      </c>
    </row>
    <row r="42" spans="1:6" ht="15.75" x14ac:dyDescent="0.3">
      <c r="A42" s="100" t="s">
        <v>220</v>
      </c>
      <c r="B42" s="20"/>
      <c r="C42" s="68"/>
      <c r="D42" s="68"/>
      <c r="E42" t="s">
        <v>184</v>
      </c>
      <c r="F42" s="9"/>
    </row>
    <row r="43" spans="1:6" ht="15.75" x14ac:dyDescent="0.3">
      <c r="A43" s="100" t="s">
        <v>222</v>
      </c>
      <c r="B43" s="20"/>
      <c r="C43" s="68"/>
      <c r="D43" s="68"/>
      <c r="E43" t="s">
        <v>184</v>
      </c>
      <c r="F43" s="9"/>
    </row>
    <row r="44" spans="1:6" x14ac:dyDescent="0.2">
      <c r="A44" s="100" t="s">
        <v>246</v>
      </c>
      <c r="B44" s="173"/>
      <c r="C44" s="173">
        <v>2200</v>
      </c>
      <c r="D44" s="173"/>
      <c r="E44" t="s">
        <v>227</v>
      </c>
      <c r="F44" s="9"/>
    </row>
    <row r="45" spans="1:6" ht="15.75" x14ac:dyDescent="0.3">
      <c r="A45" s="100" t="s">
        <v>57</v>
      </c>
      <c r="B45" s="174"/>
      <c r="C45" s="174"/>
      <c r="D45" s="174"/>
      <c r="E45" t="s">
        <v>184</v>
      </c>
      <c r="F45" s="9"/>
    </row>
    <row r="46" spans="1:6" ht="15.75" x14ac:dyDescent="0.3">
      <c r="A46" s="100" t="s">
        <v>188</v>
      </c>
      <c r="B46" s="173"/>
      <c r="C46" s="173">
        <f>15/304.8</f>
        <v>4.9212598425196846E-2</v>
      </c>
      <c r="D46" s="173"/>
      <c r="E46" t="s">
        <v>184</v>
      </c>
      <c r="F46" s="9"/>
    </row>
    <row r="47" spans="1:6" x14ac:dyDescent="0.2">
      <c r="A47" s="100" t="s">
        <v>250</v>
      </c>
      <c r="B47" s="173"/>
      <c r="C47" s="173">
        <v>32</v>
      </c>
      <c r="D47" s="173"/>
      <c r="E47" t="s">
        <v>184</v>
      </c>
      <c r="F47" s="9"/>
    </row>
    <row r="48" spans="1:6" ht="15.75" x14ac:dyDescent="0.3">
      <c r="A48" s="100" t="s">
        <v>225</v>
      </c>
      <c r="B48" s="179"/>
      <c r="C48" s="179"/>
      <c r="D48" s="179"/>
      <c r="E48" t="s">
        <v>184</v>
      </c>
      <c r="F48" s="9"/>
    </row>
    <row r="49" spans="1:6" ht="15.75" x14ac:dyDescent="0.3">
      <c r="A49" s="175" t="s">
        <v>265</v>
      </c>
      <c r="B49" s="173"/>
      <c r="C49" s="173">
        <v>12</v>
      </c>
      <c r="D49" s="173"/>
      <c r="F49" s="9"/>
    </row>
    <row r="50" spans="1:6" ht="15.75" x14ac:dyDescent="0.3">
      <c r="A50" s="175" t="s">
        <v>267</v>
      </c>
      <c r="B50" s="173"/>
      <c r="C50" s="173">
        <v>8</v>
      </c>
      <c r="D50" s="173"/>
      <c r="E50" t="s">
        <v>184</v>
      </c>
      <c r="F50" s="9"/>
    </row>
    <row r="51" spans="1:6" x14ac:dyDescent="0.2">
      <c r="A51" s="175" t="s">
        <v>269</v>
      </c>
      <c r="B51" s="173"/>
      <c r="C51" s="173">
        <v>3</v>
      </c>
      <c r="D51" s="173"/>
      <c r="E51" t="s">
        <v>184</v>
      </c>
      <c r="F51" s="9"/>
    </row>
    <row r="52" spans="1:6" ht="15.75" x14ac:dyDescent="0.3">
      <c r="A52" s="175" t="s">
        <v>63</v>
      </c>
      <c r="B52" s="176">
        <f>B49-B50</f>
        <v>0</v>
      </c>
      <c r="C52" s="176">
        <f>C49-C50</f>
        <v>4</v>
      </c>
      <c r="D52" s="176">
        <f>D49-D50</f>
        <v>0</v>
      </c>
      <c r="E52" s="39" t="s">
        <v>184</v>
      </c>
      <c r="F52" s="39" t="s">
        <v>284</v>
      </c>
    </row>
    <row r="53" spans="1:6" ht="15.75" x14ac:dyDescent="0.3">
      <c r="A53" s="175" t="s">
        <v>64</v>
      </c>
      <c r="B53" s="176">
        <f>IF(B52&gt;B51,B52-B51,0)</f>
        <v>0</v>
      </c>
      <c r="C53" s="176">
        <f>IF(C52&gt;C51,C52-C51,0)</f>
        <v>1</v>
      </c>
      <c r="D53" s="176">
        <f>IF(D52&gt;D51,D52-D51,0)</f>
        <v>0</v>
      </c>
      <c r="F53" s="39" t="s">
        <v>285</v>
      </c>
    </row>
    <row r="54" spans="1:6" ht="15.75" x14ac:dyDescent="0.3">
      <c r="A54" s="100" t="s">
        <v>190</v>
      </c>
      <c r="B54" s="108">
        <v>7.7000000000000002E-3</v>
      </c>
      <c r="C54" s="108">
        <v>7.7000000000000002E-3</v>
      </c>
      <c r="D54" s="108">
        <v>7.7000000000000002E-3</v>
      </c>
      <c r="F54" s="9"/>
    </row>
    <row r="55" spans="1:6" x14ac:dyDescent="0.2">
      <c r="B55" s="19"/>
      <c r="C55" s="19"/>
      <c r="D55" s="19"/>
      <c r="F55" s="9"/>
    </row>
    <row r="56" spans="1:6" ht="15.75" x14ac:dyDescent="0.3">
      <c r="A56" t="s">
        <v>253</v>
      </c>
      <c r="F56" s="39" t="s">
        <v>254</v>
      </c>
    </row>
    <row r="57" spans="1:6" ht="15.75" x14ac:dyDescent="0.3">
      <c r="A57" s="7" t="s">
        <v>57</v>
      </c>
      <c r="B57" s="69">
        <f>1.25*B46</f>
        <v>0</v>
      </c>
      <c r="C57" s="122">
        <f>1.25*C46</f>
        <v>6.1515748031496058E-2</v>
      </c>
      <c r="D57" s="69">
        <f>1.25*D46</f>
        <v>0</v>
      </c>
    </row>
    <row r="59" spans="1:6" ht="15.75" x14ac:dyDescent="0.3">
      <c r="A59" t="s">
        <v>255</v>
      </c>
      <c r="F59" s="39" t="s">
        <v>256</v>
      </c>
    </row>
    <row r="60" spans="1:6" ht="13.5" thickBot="1" x14ac:dyDescent="0.25"/>
    <row r="61" spans="1:6" ht="16.5" thickBot="1" x14ac:dyDescent="0.35">
      <c r="A61" s="55" t="s">
        <v>222</v>
      </c>
      <c r="B61" s="43" t="e">
        <f>((B54*B44^2)/(B57^(2/3)*B47^2))^(3/7)</f>
        <v>#DIV/0!</v>
      </c>
      <c r="C61" s="43">
        <f>((C54*C44^2)/(C57^(2/3)*C47^2))^(3/7)</f>
        <v>10.351883980454742</v>
      </c>
      <c r="D61" s="43" t="e">
        <f>((D54*D44^2)/(D57^(2/3)*D47^2))^(3/7)</f>
        <v>#DIV/0!</v>
      </c>
      <c r="E61" s="44" t="s">
        <v>184</v>
      </c>
    </row>
    <row r="62" spans="1:6" x14ac:dyDescent="0.2">
      <c r="B62" s="50"/>
      <c r="C62" s="50"/>
      <c r="D62" s="50"/>
    </row>
    <row r="63" spans="1:6" ht="15.75" x14ac:dyDescent="0.3">
      <c r="A63" s="39" t="s">
        <v>286</v>
      </c>
      <c r="B63" s="50"/>
      <c r="C63" s="50"/>
      <c r="D63" s="50"/>
      <c r="F63" s="39" t="s">
        <v>287</v>
      </c>
    </row>
    <row r="64" spans="1:6" ht="13.5" thickBot="1" x14ac:dyDescent="0.25">
      <c r="A64" s="39"/>
      <c r="B64" s="50"/>
      <c r="C64" s="50"/>
      <c r="D64" s="50"/>
      <c r="F64" s="39"/>
    </row>
    <row r="65" spans="1:6" ht="13.5" thickBot="1" x14ac:dyDescent="0.25">
      <c r="A65" s="177" t="s">
        <v>288</v>
      </c>
      <c r="B65" s="43" t="e">
        <f>0.5*((B50*B52)/B49^2)^0.2*(1-B53/B52)^(-0.1)*B50</f>
        <v>#DIV/0!</v>
      </c>
      <c r="C65" s="43">
        <f>0.5*((C50*C52)/C49^2)^0.2*(1-C53/C52)^(-0.1)*C50</f>
        <v>3.0472729899302839</v>
      </c>
      <c r="D65" s="43" t="e">
        <f>0.5*((D50*D52)/D49^2)^0.2*(1-D53/D52)^(-0.1)*D50</f>
        <v>#DIV/0!</v>
      </c>
      <c r="E65" s="178" t="s">
        <v>184</v>
      </c>
      <c r="F65" s="39"/>
    </row>
    <row r="66" spans="1:6" x14ac:dyDescent="0.2">
      <c r="B66" s="50"/>
      <c r="C66" s="50"/>
      <c r="D66" s="50"/>
    </row>
    <row r="67" spans="1:6" ht="15.75" x14ac:dyDescent="0.3">
      <c r="A67" s="39" t="s">
        <v>289</v>
      </c>
      <c r="B67" s="50"/>
      <c r="C67" s="50"/>
      <c r="D67" s="50"/>
      <c r="F67" s="39" t="s">
        <v>290</v>
      </c>
    </row>
    <row r="68" spans="1:6" ht="13.5" thickBot="1" x14ac:dyDescent="0.25">
      <c r="B68" s="50"/>
      <c r="C68" s="50"/>
      <c r="D68" s="50"/>
    </row>
    <row r="69" spans="1:6" ht="16.5" thickBot="1" x14ac:dyDescent="0.35">
      <c r="A69" s="55" t="s">
        <v>220</v>
      </c>
      <c r="B69" s="43" t="e">
        <f>B61+B65-B50</f>
        <v>#DIV/0!</v>
      </c>
      <c r="C69" s="43">
        <f>C61+C65-C50</f>
        <v>5.3991569703850253</v>
      </c>
      <c r="D69" s="43" t="e">
        <f>D61+D65-D50</f>
        <v>#DIV/0!</v>
      </c>
      <c r="E69" s="44" t="s">
        <v>184</v>
      </c>
    </row>
    <row r="72" spans="1:6" x14ac:dyDescent="0.2">
      <c r="A72" s="9" t="s">
        <v>259</v>
      </c>
    </row>
    <row r="73" spans="1:6" x14ac:dyDescent="0.2">
      <c r="A73" s="1"/>
    </row>
    <row r="74" spans="1:6" x14ac:dyDescent="0.2">
      <c r="A74" s="1"/>
    </row>
    <row r="75" spans="1:6" x14ac:dyDescent="0.2">
      <c r="A75" s="1"/>
    </row>
  </sheetData>
  <pageMargins left="1" right="1" top="1" bottom="1" header="0.5" footer="0.5"/>
  <pageSetup scale="57" orientation="portrait" r:id="rId1"/>
  <headerFooter alignWithMargins="0">
    <oddFooter>&amp;R&amp;F
&amp;A
&amp;D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sheetPr>
  <dimension ref="A1:J98"/>
  <sheetViews>
    <sheetView workbookViewId="0"/>
  </sheetViews>
  <sheetFormatPr defaultRowHeight="12.75" x14ac:dyDescent="0.2"/>
  <cols>
    <col min="1" max="1" width="17.28515625" customWidth="1"/>
    <col min="2" max="4" width="9.7109375" customWidth="1"/>
    <col min="6" max="6" width="10.4257812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260</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295</v>
      </c>
    </row>
    <row r="7" spans="1:10" ht="18" x14ac:dyDescent="0.25">
      <c r="A7" s="10" t="s">
        <v>148</v>
      </c>
    </row>
    <row r="9" spans="1:10" x14ac:dyDescent="0.2">
      <c r="A9" s="9" t="s">
        <v>175</v>
      </c>
      <c r="B9" s="11" t="s">
        <v>176</v>
      </c>
    </row>
    <row r="10" spans="1:10" x14ac:dyDescent="0.2">
      <c r="B10" s="11" t="s">
        <v>177</v>
      </c>
    </row>
    <row r="11" spans="1:10" x14ac:dyDescent="0.2">
      <c r="A11" s="11"/>
    </row>
    <row r="12" spans="1:10" x14ac:dyDescent="0.2">
      <c r="A12" s="1" t="s">
        <v>219</v>
      </c>
    </row>
    <row r="13" spans="1:10" ht="12.75" customHeight="1" x14ac:dyDescent="0.2"/>
    <row r="14" spans="1:10" ht="15.75" x14ac:dyDescent="0.3">
      <c r="A14" s="100" t="s">
        <v>220</v>
      </c>
      <c r="B14" t="s">
        <v>184</v>
      </c>
      <c r="C14" t="s">
        <v>221</v>
      </c>
    </row>
    <row r="15" spans="1:10" ht="15.75" x14ac:dyDescent="0.3">
      <c r="A15" s="100" t="s">
        <v>222</v>
      </c>
      <c r="B15" t="s">
        <v>184</v>
      </c>
      <c r="C15" t="s">
        <v>223</v>
      </c>
    </row>
    <row r="16" spans="1:10" ht="15.75" x14ac:dyDescent="0.3">
      <c r="A16" s="100" t="s">
        <v>216</v>
      </c>
      <c r="B16" t="s">
        <v>184</v>
      </c>
      <c r="C16" t="s">
        <v>224</v>
      </c>
    </row>
    <row r="17" spans="1:3" ht="15.75" x14ac:dyDescent="0.3">
      <c r="A17" s="100" t="s">
        <v>225</v>
      </c>
      <c r="B17" t="s">
        <v>184</v>
      </c>
      <c r="C17" t="s">
        <v>262</v>
      </c>
    </row>
    <row r="18" spans="1:3" ht="15.75" x14ac:dyDescent="0.3">
      <c r="A18" s="100" t="s">
        <v>226</v>
      </c>
      <c r="B18" t="s">
        <v>227</v>
      </c>
      <c r="C18" t="s">
        <v>228</v>
      </c>
    </row>
    <row r="19" spans="1:3" ht="15.75" x14ac:dyDescent="0.3">
      <c r="A19" s="100" t="s">
        <v>229</v>
      </c>
      <c r="B19" t="s">
        <v>227</v>
      </c>
      <c r="C19" t="s">
        <v>230</v>
      </c>
    </row>
    <row r="20" spans="1:3" ht="15.75" x14ac:dyDescent="0.3">
      <c r="A20" s="100" t="s">
        <v>231</v>
      </c>
      <c r="B20" t="s">
        <v>184</v>
      </c>
      <c r="C20" t="s">
        <v>263</v>
      </c>
    </row>
    <row r="21" spans="1:3" ht="15.75" x14ac:dyDescent="0.3">
      <c r="A21" s="100" t="s">
        <v>232</v>
      </c>
      <c r="B21" t="s">
        <v>184</v>
      </c>
      <c r="C21" t="s">
        <v>264</v>
      </c>
    </row>
    <row r="22" spans="1:3" ht="15.75" x14ac:dyDescent="0.3">
      <c r="A22" s="100" t="s">
        <v>217</v>
      </c>
      <c r="C22" t="s">
        <v>233</v>
      </c>
    </row>
    <row r="23" spans="1:3" ht="15.75" customHeight="1" x14ac:dyDescent="0.3">
      <c r="A23" s="175" t="s">
        <v>265</v>
      </c>
      <c r="B23" t="s">
        <v>184</v>
      </c>
      <c r="C23" s="39" t="s">
        <v>266</v>
      </c>
    </row>
    <row r="24" spans="1:3" ht="15.75" customHeight="1" x14ac:dyDescent="0.3">
      <c r="A24" s="175" t="s">
        <v>267</v>
      </c>
      <c r="B24" t="s">
        <v>184</v>
      </c>
      <c r="C24" s="39" t="s">
        <v>268</v>
      </c>
    </row>
    <row r="25" spans="1:3" ht="15.75" customHeight="1" x14ac:dyDescent="0.2">
      <c r="A25" s="175" t="s">
        <v>269</v>
      </c>
      <c r="B25" t="s">
        <v>184</v>
      </c>
      <c r="C25" s="39" t="s">
        <v>270</v>
      </c>
    </row>
    <row r="26" spans="1:3" ht="15.75" customHeight="1" x14ac:dyDescent="0.3">
      <c r="A26" s="175" t="s">
        <v>63</v>
      </c>
      <c r="B26" t="s">
        <v>184</v>
      </c>
      <c r="C26" s="39" t="s">
        <v>271</v>
      </c>
    </row>
    <row r="27" spans="1:3" ht="15.75" customHeight="1" x14ac:dyDescent="0.3">
      <c r="A27" s="175" t="s">
        <v>64</v>
      </c>
      <c r="B27" t="s">
        <v>184</v>
      </c>
      <c r="C27" s="39" t="s">
        <v>272</v>
      </c>
    </row>
    <row r="28" spans="1:3" x14ac:dyDescent="0.2">
      <c r="A28" s="14" t="s">
        <v>273</v>
      </c>
    </row>
    <row r="29" spans="1:3" x14ac:dyDescent="0.2">
      <c r="A29" s="14"/>
    </row>
    <row r="30" spans="1:3" ht="15.75" x14ac:dyDescent="0.3">
      <c r="A30" t="s">
        <v>234</v>
      </c>
      <c r="C30" s="39" t="s">
        <v>235</v>
      </c>
    </row>
    <row r="32" spans="1:3" ht="16.5" thickBot="1" x14ac:dyDescent="0.35">
      <c r="A32" s="13" t="s">
        <v>222</v>
      </c>
      <c r="B32" s="8" t="s">
        <v>184</v>
      </c>
    </row>
    <row r="36" spans="1:6" x14ac:dyDescent="0.2">
      <c r="A36" s="7"/>
    </row>
    <row r="37" spans="1:6" ht="18" x14ac:dyDescent="0.25">
      <c r="A37" s="10" t="s">
        <v>295</v>
      </c>
    </row>
    <row r="38" spans="1:6" ht="18" x14ac:dyDescent="0.25">
      <c r="A38" s="89" t="s">
        <v>274</v>
      </c>
    </row>
    <row r="39" spans="1:6" s="15" customFormat="1" x14ac:dyDescent="0.2">
      <c r="A39" s="39"/>
      <c r="B39" s="39"/>
      <c r="C39" s="39"/>
      <c r="D39" s="39"/>
      <c r="E39" s="39"/>
      <c r="F39" s="39"/>
    </row>
    <row r="40" spans="1:6" s="15" customFormat="1" x14ac:dyDescent="0.2">
      <c r="A40" s="9" t="s">
        <v>175</v>
      </c>
      <c r="B40" s="11" t="s">
        <v>275</v>
      </c>
      <c r="C40" s="39"/>
      <c r="D40" s="39"/>
      <c r="E40" s="39"/>
      <c r="F40" s="39"/>
    </row>
    <row r="41" spans="1:6" s="15" customFormat="1" x14ac:dyDescent="0.2">
      <c r="A41"/>
      <c r="B41" s="11" t="s">
        <v>276</v>
      </c>
      <c r="C41" s="39"/>
      <c r="D41" s="39"/>
      <c r="E41" s="39"/>
      <c r="F41" s="39"/>
    </row>
    <row r="42" spans="1:6" s="15" customFormat="1" x14ac:dyDescent="0.2">
      <c r="A42" s="11"/>
      <c r="B42" s="39"/>
      <c r="C42" s="39"/>
      <c r="D42" s="39"/>
      <c r="E42" s="39"/>
      <c r="F42" s="39"/>
    </row>
    <row r="43" spans="1:6" x14ac:dyDescent="0.2">
      <c r="A43" s="1" t="s">
        <v>193</v>
      </c>
      <c r="B43" s="86" t="s">
        <v>277</v>
      </c>
      <c r="C43" s="5"/>
      <c r="D43" s="5"/>
      <c r="E43" s="5"/>
      <c r="F43" s="5"/>
    </row>
    <row r="44" spans="1:6" x14ac:dyDescent="0.2">
      <c r="A44" s="1" t="s">
        <v>195</v>
      </c>
      <c r="B44" s="88" t="s">
        <v>278</v>
      </c>
      <c r="C44" s="16"/>
      <c r="D44" s="16"/>
      <c r="E44" s="16"/>
      <c r="F44" s="16"/>
    </row>
    <row r="45" spans="1:6" x14ac:dyDescent="0.2">
      <c r="A45" s="1" t="s">
        <v>236</v>
      </c>
      <c r="B45" s="88" t="s">
        <v>279</v>
      </c>
      <c r="C45" s="16"/>
      <c r="D45" s="16"/>
      <c r="E45" s="16"/>
      <c r="F45" s="16"/>
    </row>
    <row r="46" spans="1:6" x14ac:dyDescent="0.2">
      <c r="A46" s="1" t="s">
        <v>237</v>
      </c>
      <c r="B46" s="86" t="s">
        <v>280</v>
      </c>
      <c r="C46" s="5"/>
      <c r="D46" s="5"/>
      <c r="E46" s="5"/>
      <c r="F46" s="5"/>
    </row>
    <row r="47" spans="1:6" x14ac:dyDescent="0.2">
      <c r="A47" s="1" t="s">
        <v>238</v>
      </c>
      <c r="B47" s="88" t="s">
        <v>103</v>
      </c>
      <c r="C47" s="16"/>
      <c r="D47" s="16"/>
      <c r="E47" s="16"/>
      <c r="F47" s="16"/>
    </row>
    <row r="48" spans="1:6" x14ac:dyDescent="0.2">
      <c r="A48" s="1"/>
      <c r="B48" s="88" t="s">
        <v>239</v>
      </c>
      <c r="C48" s="16"/>
      <c r="D48" s="16"/>
      <c r="E48" s="16"/>
      <c r="F48" s="16"/>
    </row>
    <row r="49" spans="1:6" x14ac:dyDescent="0.2">
      <c r="A49" s="1" t="s">
        <v>281</v>
      </c>
      <c r="B49" s="88"/>
      <c r="C49" s="16"/>
      <c r="D49" s="16"/>
      <c r="E49" s="16"/>
      <c r="F49" s="16"/>
    </row>
    <row r="50" spans="1:6" x14ac:dyDescent="0.2">
      <c r="A50" s="1"/>
    </row>
    <row r="51" spans="1:6" x14ac:dyDescent="0.2">
      <c r="A51" s="1" t="s">
        <v>257</v>
      </c>
      <c r="B51" s="91"/>
      <c r="C51" s="5"/>
      <c r="D51" s="5"/>
    </row>
    <row r="52" spans="1:6" ht="12.75" customHeight="1" x14ac:dyDescent="0.2">
      <c r="A52" s="1" t="s">
        <v>258</v>
      </c>
      <c r="B52" s="92"/>
      <c r="C52" s="16"/>
      <c r="D52" s="16"/>
    </row>
    <row r="53" spans="1:6" ht="12.75" customHeight="1" x14ac:dyDescent="0.2"/>
    <row r="54" spans="1:6" ht="12.75" customHeight="1" x14ac:dyDescent="0.2">
      <c r="A54" s="1" t="s">
        <v>219</v>
      </c>
    </row>
    <row r="55" spans="1:6" ht="12.75" customHeight="1" x14ac:dyDescent="0.2"/>
    <row r="56" spans="1:6" ht="12.75" customHeight="1" x14ac:dyDescent="0.2">
      <c r="B56" s="19" t="s">
        <v>199</v>
      </c>
      <c r="C56" s="19" t="s">
        <v>112</v>
      </c>
      <c r="D56" s="19" t="s">
        <v>200</v>
      </c>
      <c r="F56" s="9" t="s">
        <v>201</v>
      </c>
    </row>
    <row r="57" spans="1:6" ht="15.75" x14ac:dyDescent="0.3">
      <c r="A57" s="93" t="s">
        <v>220</v>
      </c>
      <c r="B57" s="27"/>
      <c r="C57" s="27"/>
      <c r="D57" s="27"/>
      <c r="E57" t="s">
        <v>184</v>
      </c>
    </row>
    <row r="58" spans="1:6" ht="15.75" x14ac:dyDescent="0.3">
      <c r="A58" s="94" t="s">
        <v>222</v>
      </c>
      <c r="B58" s="27"/>
      <c r="C58" s="27"/>
      <c r="D58" s="27"/>
      <c r="E58" t="s">
        <v>184</v>
      </c>
    </row>
    <row r="59" spans="1:6" ht="15.75" x14ac:dyDescent="0.3">
      <c r="A59" s="94" t="s">
        <v>216</v>
      </c>
      <c r="B59" s="125"/>
      <c r="C59" s="125"/>
      <c r="D59" s="125"/>
      <c r="E59" t="s">
        <v>184</v>
      </c>
      <c r="F59" s="83" t="s">
        <v>240</v>
      </c>
    </row>
    <row r="60" spans="1:6" ht="15.75" x14ac:dyDescent="0.3">
      <c r="A60" s="94" t="s">
        <v>225</v>
      </c>
      <c r="B60" s="96"/>
      <c r="C60" s="96">
        <v>4.2</v>
      </c>
      <c r="D60" s="96"/>
      <c r="E60" t="s">
        <v>184</v>
      </c>
      <c r="F60" s="83" t="s">
        <v>241</v>
      </c>
    </row>
    <row r="61" spans="1:6" ht="15.75" x14ac:dyDescent="0.3">
      <c r="A61" s="94" t="s">
        <v>226</v>
      </c>
      <c r="B61" s="97"/>
      <c r="C61" s="97">
        <v>2000</v>
      </c>
      <c r="D61" s="97"/>
      <c r="E61" t="s">
        <v>227</v>
      </c>
      <c r="F61" s="83" t="s">
        <v>242</v>
      </c>
    </row>
    <row r="62" spans="1:6" ht="15.75" x14ac:dyDescent="0.3">
      <c r="A62" s="94" t="s">
        <v>229</v>
      </c>
      <c r="B62" s="97"/>
      <c r="C62" s="97">
        <v>2200</v>
      </c>
      <c r="D62" s="97"/>
      <c r="E62" t="s">
        <v>227</v>
      </c>
      <c r="F62" s="83" t="s">
        <v>243</v>
      </c>
    </row>
    <row r="63" spans="1:6" ht="15.75" x14ac:dyDescent="0.3">
      <c r="A63" s="94" t="s">
        <v>231</v>
      </c>
      <c r="B63" s="96"/>
      <c r="C63" s="96">
        <v>40</v>
      </c>
      <c r="D63" s="96"/>
      <c r="E63" t="s">
        <v>184</v>
      </c>
      <c r="F63" s="83" t="s">
        <v>244</v>
      </c>
    </row>
    <row r="64" spans="1:6" ht="15.75" x14ac:dyDescent="0.3">
      <c r="A64" s="94" t="s">
        <v>232</v>
      </c>
      <c r="B64" s="96"/>
      <c r="C64" s="96">
        <v>40</v>
      </c>
      <c r="D64" s="96"/>
      <c r="E64" t="s">
        <v>184</v>
      </c>
      <c r="F64" s="83" t="s">
        <v>282</v>
      </c>
    </row>
    <row r="65" spans="1:6" ht="15.75" x14ac:dyDescent="0.3">
      <c r="A65" s="94" t="s">
        <v>217</v>
      </c>
      <c r="B65" s="97"/>
      <c r="C65" s="97">
        <v>0.69</v>
      </c>
      <c r="D65" s="97"/>
      <c r="F65" s="39" t="s">
        <v>283</v>
      </c>
    </row>
    <row r="66" spans="1:6" ht="15.75" x14ac:dyDescent="0.3">
      <c r="A66" s="175" t="s">
        <v>265</v>
      </c>
      <c r="B66" s="173"/>
      <c r="C66" s="173">
        <v>12</v>
      </c>
      <c r="D66" s="173"/>
      <c r="F66" s="9"/>
    </row>
    <row r="67" spans="1:6" ht="15.75" x14ac:dyDescent="0.3">
      <c r="A67" s="175" t="s">
        <v>267</v>
      </c>
      <c r="B67" s="173"/>
      <c r="C67" s="173">
        <v>8</v>
      </c>
      <c r="D67" s="173"/>
      <c r="E67" t="s">
        <v>184</v>
      </c>
      <c r="F67" s="9"/>
    </row>
    <row r="68" spans="1:6" x14ac:dyDescent="0.2">
      <c r="A68" s="175" t="s">
        <v>269</v>
      </c>
      <c r="B68" s="173"/>
      <c r="C68" s="173">
        <v>3</v>
      </c>
      <c r="D68" s="173"/>
      <c r="E68" t="s">
        <v>184</v>
      </c>
      <c r="F68" s="9"/>
    </row>
    <row r="69" spans="1:6" ht="15.75" x14ac:dyDescent="0.3">
      <c r="A69" s="175" t="s">
        <v>63</v>
      </c>
      <c r="B69" s="176">
        <f>B66-B67</f>
        <v>0</v>
      </c>
      <c r="C69" s="176">
        <f>C66-C67</f>
        <v>4</v>
      </c>
      <c r="D69" s="176">
        <f>D66-D67</f>
        <v>0</v>
      </c>
      <c r="E69" s="39" t="s">
        <v>184</v>
      </c>
      <c r="F69" s="39" t="s">
        <v>284</v>
      </c>
    </row>
    <row r="70" spans="1:6" ht="15.75" x14ac:dyDescent="0.3">
      <c r="A70" s="175" t="s">
        <v>64</v>
      </c>
      <c r="B70" s="176">
        <f>IF(B69&gt;B68,B69-B68,0)</f>
        <v>0</v>
      </c>
      <c r="C70" s="176">
        <f>IF(C69&gt;C68,C69-C68,0)</f>
        <v>1</v>
      </c>
      <c r="D70" s="176">
        <f>IF(D69&gt;D68,D69-D68,0)</f>
        <v>0</v>
      </c>
      <c r="F70" s="39" t="s">
        <v>285</v>
      </c>
    </row>
    <row r="73" spans="1:6" ht="15.75" x14ac:dyDescent="0.3">
      <c r="A73" s="180" t="s">
        <v>296</v>
      </c>
      <c r="F73" s="39" t="s">
        <v>285</v>
      </c>
    </row>
    <row r="74" spans="1:6" ht="13.5" thickBot="1" x14ac:dyDescent="0.25">
      <c r="A74" s="180"/>
    </row>
    <row r="75" spans="1:6" ht="16.5" thickBot="1" x14ac:dyDescent="0.35">
      <c r="A75" s="181" t="s">
        <v>297</v>
      </c>
      <c r="B75" s="2">
        <f>B67+B68</f>
        <v>0</v>
      </c>
      <c r="C75" s="2">
        <f t="shared" ref="C75:D75" si="0">C67+C68</f>
        <v>11</v>
      </c>
      <c r="D75" s="2">
        <f t="shared" si="0"/>
        <v>0</v>
      </c>
      <c r="E75" s="44" t="s">
        <v>184</v>
      </c>
    </row>
    <row r="76" spans="1:6" x14ac:dyDescent="0.2">
      <c r="A76" s="182"/>
      <c r="B76" s="7"/>
      <c r="C76" s="7"/>
      <c r="D76" s="7"/>
    </row>
    <row r="77" spans="1:6" ht="15.75" x14ac:dyDescent="0.3">
      <c r="A77" s="180" t="s">
        <v>298</v>
      </c>
      <c r="B77" s="7"/>
      <c r="C77" s="7"/>
      <c r="D77" s="7"/>
      <c r="F77" s="39" t="s">
        <v>299</v>
      </c>
    </row>
    <row r="78" spans="1:6" ht="13.5" thickBot="1" x14ac:dyDescent="0.25">
      <c r="A78" s="182"/>
      <c r="B78" s="7"/>
      <c r="C78" s="7"/>
      <c r="D78" s="7"/>
    </row>
    <row r="79" spans="1:6" ht="16.5" thickBot="1" x14ac:dyDescent="0.35">
      <c r="A79" s="181" t="s">
        <v>300</v>
      </c>
      <c r="B79" s="124" t="e">
        <f>B61*(B75/B66)^(8/7)</f>
        <v>#DIV/0!</v>
      </c>
      <c r="C79" s="124">
        <f>C61*(C75/C66)^(8/7)</f>
        <v>1810.6856883073922</v>
      </c>
      <c r="D79" s="124" t="e">
        <f>D61*(D75/D66)^(8/7)</f>
        <v>#DIV/0!</v>
      </c>
      <c r="E79" s="178" t="s">
        <v>227</v>
      </c>
    </row>
    <row r="81" spans="1:6" ht="15.75" x14ac:dyDescent="0.3">
      <c r="A81" t="s">
        <v>234</v>
      </c>
      <c r="F81" s="39" t="s">
        <v>235</v>
      </c>
    </row>
    <row r="82" spans="1:6" ht="13.5" thickBot="1" x14ac:dyDescent="0.25"/>
    <row r="83" spans="1:6" ht="16.5" thickBot="1" x14ac:dyDescent="0.35">
      <c r="A83" s="55" t="s">
        <v>222</v>
      </c>
      <c r="B83" s="56" t="e">
        <f>B59*(B62/B61)^(6/7)*(B63/B64)^B65</f>
        <v>#DIV/0!</v>
      </c>
      <c r="C83" s="123">
        <f>C75*(C62/C79)^(6/7)*(C63/C64)^C65</f>
        <v>12.998387966981937</v>
      </c>
      <c r="D83" s="56" t="e">
        <f>D59*(D62/D61)^(6/7)*(D63/D64)^D65</f>
        <v>#DIV/0!</v>
      </c>
      <c r="E83" s="44" t="s">
        <v>184</v>
      </c>
    </row>
    <row r="84" spans="1:6" x14ac:dyDescent="0.2">
      <c r="B84" s="18"/>
      <c r="C84" s="18"/>
      <c r="D84" s="18"/>
    </row>
    <row r="85" spans="1:6" ht="15.75" x14ac:dyDescent="0.3">
      <c r="A85" s="39" t="s">
        <v>286</v>
      </c>
      <c r="B85" s="50"/>
      <c r="C85" s="50"/>
      <c r="D85" s="50"/>
      <c r="F85" s="39" t="s">
        <v>287</v>
      </c>
    </row>
    <row r="86" spans="1:6" ht="13.5" thickBot="1" x14ac:dyDescent="0.25">
      <c r="A86" s="39"/>
      <c r="B86" s="50"/>
      <c r="C86" s="50"/>
      <c r="D86" s="50"/>
      <c r="F86" s="39"/>
    </row>
    <row r="87" spans="1:6" ht="13.5" thickBot="1" x14ac:dyDescent="0.25">
      <c r="A87" s="177" t="s">
        <v>288</v>
      </c>
      <c r="B87" s="43" t="e">
        <f>0.5*((B64*B66)/B63^2)^0.2*(1-B67/B66)^(-0.1)*B64</f>
        <v>#DIV/0!</v>
      </c>
      <c r="C87" s="43">
        <f>0.5*((C67*C69)/C66^2)^0.2*(1-C70/C69)^(-0.1)*C67</f>
        <v>3.0472729899302839</v>
      </c>
      <c r="D87" s="43" t="e">
        <f>0.5*((D64*D66)/D63^2)^0.2*(1-D67/D66)^(-0.1)*D64</f>
        <v>#DIV/0!</v>
      </c>
      <c r="E87" s="178" t="s">
        <v>184</v>
      </c>
      <c r="F87" s="39"/>
    </row>
    <row r="88" spans="1:6" x14ac:dyDescent="0.2">
      <c r="B88" s="18"/>
      <c r="C88" s="18"/>
      <c r="D88" s="18"/>
    </row>
    <row r="89" spans="1:6" ht="15.75" x14ac:dyDescent="0.3">
      <c r="A89" s="39" t="s">
        <v>289</v>
      </c>
      <c r="B89" s="50"/>
      <c r="C89" s="50"/>
      <c r="D89" s="50"/>
      <c r="F89" s="39" t="s">
        <v>290</v>
      </c>
    </row>
    <row r="90" spans="1:6" ht="13.5" thickBot="1" x14ac:dyDescent="0.25">
      <c r="B90" s="50"/>
      <c r="C90" s="50"/>
      <c r="D90" s="50"/>
    </row>
    <row r="91" spans="1:6" ht="16.5" thickBot="1" x14ac:dyDescent="0.35">
      <c r="A91" s="55" t="s">
        <v>220</v>
      </c>
      <c r="B91" s="43" t="e">
        <f>B83+B87-B67</f>
        <v>#DIV/0!</v>
      </c>
      <c r="C91" s="43">
        <f>C83+C87-C67</f>
        <v>8.0456609569122222</v>
      </c>
      <c r="D91" s="43" t="e">
        <f>D83+D87-D67</f>
        <v>#DIV/0!</v>
      </c>
      <c r="E91" s="44" t="s">
        <v>184</v>
      </c>
    </row>
    <row r="95" spans="1:6" x14ac:dyDescent="0.2">
      <c r="A95" s="9" t="s">
        <v>259</v>
      </c>
    </row>
    <row r="96" spans="1:6" x14ac:dyDescent="0.2">
      <c r="A96" s="1"/>
    </row>
    <row r="97" spans="1:1" x14ac:dyDescent="0.2">
      <c r="A97" s="1"/>
    </row>
    <row r="98" spans="1:1" x14ac:dyDescent="0.2">
      <c r="A98" s="1"/>
    </row>
  </sheetData>
  <pageMargins left="1" right="1" top="1" bottom="1" header="0.5" footer="0.5"/>
  <pageSetup scale="71" orientation="portrait" r:id="rId1"/>
  <headerFooter alignWithMargins="0">
    <oddFooter>&amp;R&amp;F
&amp;A
&amp;D</oddFooter>
  </headerFooter>
  <rowBreaks count="1" manualBreakCount="1">
    <brk id="35"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P107"/>
  <sheetViews>
    <sheetView workbookViewId="0">
      <selection activeCell="P32" sqref="P32"/>
    </sheetView>
  </sheetViews>
  <sheetFormatPr defaultRowHeight="12.75" x14ac:dyDescent="0.2"/>
  <cols>
    <col min="1" max="1" width="12.7109375" customWidth="1"/>
    <col min="2" max="10" width="9.28515625" customWidth="1"/>
    <col min="11" max="11" width="32.42578125" bestFit="1" customWidth="1"/>
    <col min="12" max="14" width="12.8554687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108</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147</v>
      </c>
    </row>
    <row r="7" spans="1:10" ht="18" x14ac:dyDescent="0.25">
      <c r="A7" s="10" t="s">
        <v>148</v>
      </c>
    </row>
    <row r="8" spans="1:10" x14ac:dyDescent="0.2">
      <c r="B8" t="s">
        <v>301</v>
      </c>
    </row>
    <row r="9" spans="1:10" x14ac:dyDescent="0.2">
      <c r="A9" s="9" t="s">
        <v>175</v>
      </c>
      <c r="B9" s="11" t="s">
        <v>302</v>
      </c>
    </row>
    <row r="10" spans="1:10" x14ac:dyDescent="0.2">
      <c r="B10" s="11" t="s">
        <v>177</v>
      </c>
    </row>
    <row r="11" spans="1:10" x14ac:dyDescent="0.2">
      <c r="A11" s="60"/>
      <c r="B11" s="60" t="s">
        <v>303</v>
      </c>
    </row>
    <row r="12" spans="1:10" x14ac:dyDescent="0.2">
      <c r="A12" s="60"/>
    </row>
    <row r="13" spans="1:10" x14ac:dyDescent="0.2">
      <c r="A13" s="1" t="s">
        <v>304</v>
      </c>
    </row>
    <row r="15" spans="1:10" ht="15.75" x14ac:dyDescent="0.3">
      <c r="A15" s="100" t="s">
        <v>220</v>
      </c>
      <c r="B15" t="s">
        <v>184</v>
      </c>
      <c r="C15" t="s">
        <v>305</v>
      </c>
    </row>
    <row r="16" spans="1:10" ht="15.75" x14ac:dyDescent="0.3">
      <c r="A16" s="100" t="s">
        <v>306</v>
      </c>
      <c r="C16" s="39" t="s">
        <v>307</v>
      </c>
    </row>
    <row r="17" spans="1:4" ht="15.75" x14ac:dyDescent="0.3">
      <c r="A17" s="139" t="s">
        <v>308</v>
      </c>
      <c r="C17" s="39" t="s">
        <v>309</v>
      </c>
    </row>
    <row r="18" spans="1:4" x14ac:dyDescent="0.2">
      <c r="A18" s="7"/>
      <c r="C18" s="39"/>
      <c r="D18" s="39" t="s">
        <v>310</v>
      </c>
    </row>
    <row r="19" spans="1:4" x14ac:dyDescent="0.2">
      <c r="A19" s="7"/>
      <c r="D19" s="12" t="s">
        <v>311</v>
      </c>
    </row>
    <row r="20" spans="1:4" x14ac:dyDescent="0.2">
      <c r="A20" s="7"/>
      <c r="D20" s="12" t="s">
        <v>312</v>
      </c>
    </row>
    <row r="21" spans="1:4" x14ac:dyDescent="0.2">
      <c r="A21" s="7"/>
      <c r="D21" s="12" t="s">
        <v>313</v>
      </c>
    </row>
    <row r="22" spans="1:4" x14ac:dyDescent="0.2">
      <c r="A22" s="139" t="s">
        <v>314</v>
      </c>
      <c r="B22" t="s">
        <v>184</v>
      </c>
      <c r="C22" t="s">
        <v>315</v>
      </c>
    </row>
    <row r="23" spans="1:4" ht="15.75" x14ac:dyDescent="0.3">
      <c r="A23" s="139" t="s">
        <v>316</v>
      </c>
      <c r="B23" t="s">
        <v>184</v>
      </c>
      <c r="C23" t="s">
        <v>317</v>
      </c>
    </row>
    <row r="24" spans="1:4" x14ac:dyDescent="0.2">
      <c r="A24" s="100" t="s">
        <v>318</v>
      </c>
      <c r="B24" t="s">
        <v>184</v>
      </c>
      <c r="C24" t="s">
        <v>319</v>
      </c>
    </row>
    <row r="25" spans="1:4" ht="15.75" x14ac:dyDescent="0.3">
      <c r="A25" s="100" t="s">
        <v>320</v>
      </c>
      <c r="C25" t="s">
        <v>321</v>
      </c>
    </row>
    <row r="26" spans="1:4" ht="15.75" x14ac:dyDescent="0.3">
      <c r="A26" s="100" t="s">
        <v>322</v>
      </c>
      <c r="B26" t="s">
        <v>181</v>
      </c>
      <c r="C26" t="s">
        <v>323</v>
      </c>
    </row>
    <row r="27" spans="1:4" ht="15.75" x14ac:dyDescent="0.3">
      <c r="A27" s="100" t="s">
        <v>324</v>
      </c>
      <c r="B27" t="s">
        <v>227</v>
      </c>
      <c r="C27" t="s">
        <v>325</v>
      </c>
    </row>
    <row r="28" spans="1:4" ht="15.75" x14ac:dyDescent="0.3">
      <c r="A28" s="100" t="s">
        <v>326</v>
      </c>
      <c r="B28" t="s">
        <v>327</v>
      </c>
      <c r="C28" t="s">
        <v>328</v>
      </c>
    </row>
    <row r="30" spans="1:4" ht="15.75" x14ac:dyDescent="0.3">
      <c r="A30" s="14" t="s">
        <v>329</v>
      </c>
      <c r="D30" s="39" t="s">
        <v>330</v>
      </c>
    </row>
    <row r="31" spans="1:4" ht="15.75" x14ac:dyDescent="0.3">
      <c r="A31" t="s">
        <v>331</v>
      </c>
      <c r="D31" s="39" t="s">
        <v>332</v>
      </c>
    </row>
    <row r="33" spans="1:16" ht="18" x14ac:dyDescent="0.25">
      <c r="A33" s="10" t="s">
        <v>147</v>
      </c>
    </row>
    <row r="34" spans="1:16" ht="18" x14ac:dyDescent="0.25">
      <c r="A34" s="89" t="s">
        <v>150</v>
      </c>
    </row>
    <row r="35" spans="1:16" s="15" customFormat="1" x14ac:dyDescent="0.2">
      <c r="A35" s="39"/>
      <c r="B35" s="39"/>
      <c r="C35" s="39"/>
      <c r="D35" s="39"/>
      <c r="E35" s="39"/>
      <c r="F35" s="39"/>
      <c r="G35" s="39"/>
      <c r="H35" s="39"/>
      <c r="I35" s="39"/>
      <c r="J35" s="39"/>
      <c r="K35" s="39"/>
      <c r="L35" s="39"/>
      <c r="M35" s="39"/>
      <c r="N35" s="39"/>
      <c r="O35" s="39"/>
      <c r="P35" s="39"/>
    </row>
    <row r="36" spans="1:16" x14ac:dyDescent="0.2">
      <c r="A36" s="1" t="s">
        <v>193</v>
      </c>
      <c r="B36" s="86" t="s">
        <v>194</v>
      </c>
      <c r="C36" s="5"/>
      <c r="D36" s="5"/>
      <c r="E36" s="5"/>
      <c r="F36" s="5"/>
      <c r="I36" s="7"/>
    </row>
    <row r="37" spans="1:16" x14ac:dyDescent="0.2">
      <c r="A37" s="1" t="s">
        <v>195</v>
      </c>
      <c r="B37" s="88" t="s">
        <v>333</v>
      </c>
      <c r="C37" s="16"/>
      <c r="D37" s="16"/>
      <c r="E37" s="16"/>
      <c r="F37" s="16"/>
      <c r="I37" s="7"/>
    </row>
    <row r="38" spans="1:16" x14ac:dyDescent="0.2">
      <c r="A38" s="1" t="s">
        <v>334</v>
      </c>
      <c r="B38" s="88" t="s">
        <v>335</v>
      </c>
      <c r="C38" s="16"/>
      <c r="D38" s="16"/>
      <c r="E38" s="16"/>
      <c r="F38" s="16"/>
      <c r="I38" s="7"/>
      <c r="L38" s="109"/>
      <c r="M38" s="109"/>
      <c r="N38" s="109"/>
      <c r="O38" s="109"/>
    </row>
    <row r="39" spans="1:16" x14ac:dyDescent="0.2">
      <c r="A39" s="1" t="s">
        <v>237</v>
      </c>
      <c r="B39" s="86" t="s">
        <v>336</v>
      </c>
      <c r="C39" s="5"/>
      <c r="D39" s="5"/>
      <c r="E39" s="5"/>
      <c r="F39" s="5"/>
      <c r="I39" s="7"/>
      <c r="L39" s="109"/>
      <c r="M39" s="109"/>
      <c r="N39" s="109"/>
      <c r="O39" s="109"/>
    </row>
    <row r="40" spans="1:16" x14ac:dyDescent="0.2">
      <c r="I40" s="7"/>
      <c r="K40" s="7"/>
      <c r="L40" s="109"/>
      <c r="M40" s="109"/>
      <c r="N40" s="109"/>
      <c r="O40" s="109"/>
    </row>
    <row r="41" spans="1:16" x14ac:dyDescent="0.2">
      <c r="A41" s="1" t="s">
        <v>337</v>
      </c>
      <c r="B41" t="s">
        <v>338</v>
      </c>
      <c r="I41" s="7"/>
      <c r="K41" s="7"/>
      <c r="L41" s="109"/>
      <c r="M41" s="109"/>
      <c r="N41" s="109"/>
      <c r="O41" s="109"/>
    </row>
    <row r="42" spans="1:16" ht="15.75" x14ac:dyDescent="0.3">
      <c r="B42" t="s">
        <v>339</v>
      </c>
      <c r="I42" s="7"/>
      <c r="K42" s="7"/>
      <c r="L42" s="110"/>
      <c r="M42" s="110"/>
      <c r="N42" s="110"/>
      <c r="O42" s="109"/>
    </row>
    <row r="43" spans="1:16" ht="15.75" x14ac:dyDescent="0.3">
      <c r="B43" t="s">
        <v>340</v>
      </c>
      <c r="I43" s="7"/>
      <c r="L43" s="109"/>
      <c r="M43" s="109"/>
      <c r="N43" s="109"/>
      <c r="O43" s="109"/>
    </row>
    <row r="44" spans="1:16" x14ac:dyDescent="0.2">
      <c r="I44" s="7"/>
    </row>
    <row r="45" spans="1:16" x14ac:dyDescent="0.2">
      <c r="I45" s="7"/>
    </row>
    <row r="46" spans="1:16" x14ac:dyDescent="0.2">
      <c r="B46" s="83" t="s">
        <v>341</v>
      </c>
      <c r="I46" s="7"/>
    </row>
    <row r="47" spans="1:16" x14ac:dyDescent="0.2">
      <c r="B47" s="90" t="s">
        <v>342</v>
      </c>
      <c r="I47" s="7"/>
    </row>
    <row r="48" spans="1:16" x14ac:dyDescent="0.2">
      <c r="I48" s="7"/>
    </row>
    <row r="49" spans="1:10" x14ac:dyDescent="0.2">
      <c r="I49" s="7"/>
    </row>
    <row r="50" spans="1:10" x14ac:dyDescent="0.2">
      <c r="A50" s="1" t="s">
        <v>343</v>
      </c>
      <c r="B50" s="39" t="s">
        <v>344</v>
      </c>
      <c r="I50" s="7"/>
    </row>
    <row r="51" spans="1:10" x14ac:dyDescent="0.2">
      <c r="B51" s="83" t="s">
        <v>345</v>
      </c>
      <c r="I51" s="7"/>
    </row>
    <row r="52" spans="1:10" x14ac:dyDescent="0.2">
      <c r="B52" s="83" t="s">
        <v>346</v>
      </c>
      <c r="I52" s="7"/>
    </row>
    <row r="53" spans="1:10" x14ac:dyDescent="0.2">
      <c r="I53" s="7"/>
    </row>
    <row r="54" spans="1:10" x14ac:dyDescent="0.2">
      <c r="C54" s="75" t="s">
        <v>129</v>
      </c>
      <c r="D54" s="76" t="s">
        <v>130</v>
      </c>
      <c r="E54" s="5"/>
      <c r="F54" s="5"/>
      <c r="G54" s="75" t="s">
        <v>131</v>
      </c>
      <c r="H54" s="131" t="s">
        <v>132</v>
      </c>
      <c r="I54" s="75" t="s">
        <v>133</v>
      </c>
      <c r="J54" s="133">
        <v>42857</v>
      </c>
    </row>
    <row r="55" spans="1:10" x14ac:dyDescent="0.2">
      <c r="C55" s="77" t="s">
        <v>134</v>
      </c>
      <c r="D55" s="78" t="s">
        <v>135</v>
      </c>
      <c r="E55" s="16"/>
      <c r="F55" s="16"/>
      <c r="G55" s="77" t="s">
        <v>136</v>
      </c>
      <c r="H55" s="132" t="s">
        <v>132</v>
      </c>
      <c r="I55" s="77" t="s">
        <v>133</v>
      </c>
      <c r="J55" s="134">
        <v>42857</v>
      </c>
    </row>
    <row r="56" spans="1:10" x14ac:dyDescent="0.2">
      <c r="C56" s="77" t="s">
        <v>137</v>
      </c>
      <c r="D56" s="78" t="s">
        <v>108</v>
      </c>
      <c r="E56" s="16"/>
      <c r="F56" s="16"/>
      <c r="G56" s="77" t="s">
        <v>139</v>
      </c>
      <c r="H56" s="132">
        <v>1</v>
      </c>
      <c r="I56" s="77" t="s">
        <v>140</v>
      </c>
      <c r="J56" s="132" t="s">
        <v>141</v>
      </c>
    </row>
    <row r="57" spans="1:10" x14ac:dyDescent="0.2">
      <c r="C57" s="77" t="s">
        <v>142</v>
      </c>
      <c r="D57" s="135">
        <v>0</v>
      </c>
      <c r="E57" s="16"/>
      <c r="F57" s="16"/>
      <c r="G57" s="77" t="s">
        <v>143</v>
      </c>
      <c r="H57" s="136">
        <v>0</v>
      </c>
      <c r="I57" s="79"/>
      <c r="J57" s="132"/>
    </row>
    <row r="58" spans="1:10" x14ac:dyDescent="0.2">
      <c r="I58" s="7"/>
    </row>
    <row r="59" spans="1:10" x14ac:dyDescent="0.2">
      <c r="I59" s="7"/>
    </row>
    <row r="60" spans="1:10" x14ac:dyDescent="0.2">
      <c r="A60" s="1" t="s">
        <v>347</v>
      </c>
      <c r="B60" s="91"/>
      <c r="C60" s="5"/>
      <c r="D60" s="5"/>
      <c r="I60" s="7"/>
    </row>
    <row r="61" spans="1:10" x14ac:dyDescent="0.2">
      <c r="A61" s="1" t="s">
        <v>218</v>
      </c>
      <c r="B61" s="92"/>
      <c r="C61" s="16"/>
      <c r="D61" s="16"/>
      <c r="I61" s="7"/>
    </row>
    <row r="62" spans="1:10" x14ac:dyDescent="0.2">
      <c r="A62" s="1" t="s">
        <v>197</v>
      </c>
      <c r="B62" s="92"/>
      <c r="C62" s="16"/>
      <c r="D62" s="16"/>
      <c r="I62" s="7"/>
    </row>
    <row r="63" spans="1:10" x14ac:dyDescent="0.2">
      <c r="A63" s="17" t="s">
        <v>348</v>
      </c>
      <c r="B63" s="18"/>
      <c r="C63" s="18"/>
      <c r="D63" s="18"/>
      <c r="I63" s="7"/>
    </row>
    <row r="64" spans="1:10" x14ac:dyDescent="0.2">
      <c r="B64" s="18"/>
      <c r="C64" s="18"/>
      <c r="D64" s="18"/>
      <c r="I64" s="7"/>
    </row>
    <row r="65" spans="1:9" x14ac:dyDescent="0.2">
      <c r="B65" s="19" t="s">
        <v>349</v>
      </c>
      <c r="C65" s="19" t="s">
        <v>350</v>
      </c>
      <c r="D65" s="18"/>
      <c r="E65" s="9" t="s">
        <v>201</v>
      </c>
      <c r="I65" s="7"/>
    </row>
    <row r="66" spans="1:9" ht="15.75" x14ac:dyDescent="0.3">
      <c r="A66" s="93" t="s">
        <v>220</v>
      </c>
      <c r="B66" s="20"/>
      <c r="C66" s="21"/>
      <c r="D66" t="s">
        <v>184</v>
      </c>
      <c r="E66" s="83"/>
      <c r="I66" s="7"/>
    </row>
    <row r="67" spans="1:9" ht="15.75" x14ac:dyDescent="0.3">
      <c r="A67" s="94" t="s">
        <v>306</v>
      </c>
      <c r="B67" s="99">
        <v>1</v>
      </c>
      <c r="C67" s="99">
        <v>1</v>
      </c>
      <c r="E67" s="104" t="s">
        <v>351</v>
      </c>
      <c r="I67" s="7"/>
    </row>
    <row r="68" spans="1:9" ht="15.75" x14ac:dyDescent="0.3">
      <c r="A68" s="94" t="s">
        <v>308</v>
      </c>
      <c r="B68" s="22">
        <f>(B69/90)^0.13</f>
        <v>1</v>
      </c>
      <c r="C68" s="22">
        <f>(C69/90)^0.13</f>
        <v>1</v>
      </c>
      <c r="D68" s="23"/>
      <c r="E68" s="83" t="s">
        <v>352</v>
      </c>
      <c r="I68" s="7"/>
    </row>
    <row r="69" spans="1:9" x14ac:dyDescent="0.2">
      <c r="A69" s="95" t="s">
        <v>353</v>
      </c>
      <c r="B69" s="96">
        <v>90</v>
      </c>
      <c r="C69" s="96">
        <v>90</v>
      </c>
      <c r="D69" s="24" t="s">
        <v>354</v>
      </c>
      <c r="E69" s="83"/>
      <c r="I69" s="7"/>
    </row>
    <row r="70" spans="1:9" x14ac:dyDescent="0.2">
      <c r="A70" s="94" t="s">
        <v>314</v>
      </c>
      <c r="B70" s="97">
        <v>6.96</v>
      </c>
      <c r="C70" s="97">
        <v>6.96</v>
      </c>
      <c r="D70" t="s">
        <v>184</v>
      </c>
      <c r="E70" s="83" t="s">
        <v>355</v>
      </c>
      <c r="I70" s="7"/>
    </row>
    <row r="71" spans="1:9" ht="15.75" x14ac:dyDescent="0.3">
      <c r="A71" s="94" t="s">
        <v>316</v>
      </c>
      <c r="B71" s="97">
        <v>0.89</v>
      </c>
      <c r="C71" s="97">
        <v>0.89</v>
      </c>
      <c r="D71" t="s">
        <v>184</v>
      </c>
      <c r="E71" s="83" t="s">
        <v>356</v>
      </c>
      <c r="I71" s="7"/>
    </row>
    <row r="72" spans="1:9" x14ac:dyDescent="0.2">
      <c r="A72" s="94" t="s">
        <v>320</v>
      </c>
      <c r="B72" s="22">
        <f>B74/(B73*B71)^(1/2)</f>
        <v>4.6700020316381256E-2</v>
      </c>
      <c r="C72" s="22">
        <f>C74/(C73*C71)^(1/2)</f>
        <v>4.6700020316381256E-2</v>
      </c>
      <c r="E72" s="83"/>
      <c r="I72" s="7"/>
    </row>
    <row r="73" spans="1:9" ht="14.25" x14ac:dyDescent="0.2">
      <c r="A73" s="94" t="s">
        <v>214</v>
      </c>
      <c r="B73" s="108">
        <v>32.200000000000003</v>
      </c>
      <c r="C73" s="108">
        <v>32.200000000000003</v>
      </c>
      <c r="D73" s="14" t="s">
        <v>215</v>
      </c>
      <c r="E73" s="83"/>
      <c r="I73" s="7"/>
    </row>
    <row r="74" spans="1:9" ht="15.75" x14ac:dyDescent="0.3">
      <c r="A74" s="94" t="s">
        <v>322</v>
      </c>
      <c r="B74" s="97">
        <v>0.25</v>
      </c>
      <c r="C74" s="97">
        <v>0.25</v>
      </c>
      <c r="D74" t="s">
        <v>181</v>
      </c>
      <c r="E74" s="83" t="s">
        <v>357</v>
      </c>
      <c r="I74" s="7"/>
    </row>
    <row r="75" spans="1:9" ht="15.75" x14ac:dyDescent="0.3">
      <c r="A75" s="94" t="s">
        <v>324</v>
      </c>
      <c r="B75" s="98" t="s">
        <v>358</v>
      </c>
      <c r="C75" s="98" t="s">
        <v>358</v>
      </c>
      <c r="D75" t="s">
        <v>227</v>
      </c>
      <c r="E75" s="83"/>
      <c r="I75" s="7"/>
    </row>
    <row r="76" spans="1:9" ht="15.75" x14ac:dyDescent="0.3">
      <c r="A76" s="94" t="s">
        <v>326</v>
      </c>
      <c r="B76" s="98" t="s">
        <v>358</v>
      </c>
      <c r="C76" s="98" t="s">
        <v>358</v>
      </c>
      <c r="D76" t="s">
        <v>327</v>
      </c>
      <c r="E76" s="83"/>
      <c r="I76" s="7"/>
    </row>
    <row r="77" spans="1:9" x14ac:dyDescent="0.2">
      <c r="B77" s="18"/>
      <c r="C77" s="18"/>
      <c r="D77" s="18"/>
      <c r="I77" s="7"/>
    </row>
    <row r="78" spans="1:9" ht="15.75" x14ac:dyDescent="0.3">
      <c r="A78" s="14" t="s">
        <v>329</v>
      </c>
      <c r="B78" s="18"/>
      <c r="C78" s="18"/>
      <c r="D78" s="18"/>
      <c r="E78" s="39" t="s">
        <v>330</v>
      </c>
      <c r="I78" s="7"/>
    </row>
    <row r="79" spans="1:9" ht="15.75" x14ac:dyDescent="0.3">
      <c r="A79" t="s">
        <v>331</v>
      </c>
      <c r="B79" s="18"/>
      <c r="C79" s="18"/>
      <c r="D79" s="18"/>
      <c r="E79" s="39" t="s">
        <v>332</v>
      </c>
      <c r="I79" s="7"/>
    </row>
    <row r="80" spans="1:9" ht="15.75" x14ac:dyDescent="0.3">
      <c r="A80" t="s">
        <v>359</v>
      </c>
      <c r="B80" s="18"/>
      <c r="C80" s="18"/>
      <c r="D80" s="18"/>
      <c r="E80" s="39" t="s">
        <v>332</v>
      </c>
      <c r="I80" s="7"/>
    </row>
    <row r="81" spans="1:9" x14ac:dyDescent="0.2">
      <c r="I81" s="7"/>
    </row>
    <row r="82" spans="1:9" ht="16.5" thickBot="1" x14ac:dyDescent="0.35">
      <c r="A82" s="13" t="s">
        <v>220</v>
      </c>
      <c r="B82" s="25">
        <f>2.27*B67*B68*B70^0.43*B71^0.57*B72^0.61 + B71</f>
        <v>1.6447159813452641</v>
      </c>
      <c r="C82" s="25">
        <f>2.27*C67*C68*C70^0.43*C71^0.57*C72^0.61 + C71</f>
        <v>1.6447159813452641</v>
      </c>
      <c r="D82" s="8" t="s">
        <v>184</v>
      </c>
      <c r="I82" s="7"/>
    </row>
    <row r="83" spans="1:9" x14ac:dyDescent="0.2">
      <c r="I83" s="7"/>
    </row>
    <row r="84" spans="1:9" x14ac:dyDescent="0.2">
      <c r="I84" s="7"/>
    </row>
    <row r="85" spans="1:9" x14ac:dyDescent="0.2">
      <c r="A85" s="1" t="s">
        <v>347</v>
      </c>
      <c r="B85" s="91"/>
      <c r="C85" s="5"/>
      <c r="D85" s="5"/>
    </row>
    <row r="86" spans="1:9" x14ac:dyDescent="0.2">
      <c r="A86" s="1" t="s">
        <v>218</v>
      </c>
      <c r="B86" s="92"/>
      <c r="C86" s="16"/>
      <c r="D86" s="16"/>
    </row>
    <row r="87" spans="1:9" x14ac:dyDescent="0.2">
      <c r="A87" s="1" t="s">
        <v>197</v>
      </c>
      <c r="B87" s="92"/>
      <c r="C87" s="16"/>
      <c r="D87" s="16"/>
    </row>
    <row r="88" spans="1:9" x14ac:dyDescent="0.2">
      <c r="A88" s="17" t="s">
        <v>348</v>
      </c>
      <c r="B88" s="18"/>
      <c r="C88" s="18"/>
      <c r="D88" s="18"/>
    </row>
    <row r="89" spans="1:9" x14ac:dyDescent="0.2">
      <c r="B89" s="18"/>
      <c r="C89" s="18"/>
      <c r="D89" s="18"/>
    </row>
    <row r="90" spans="1:9" x14ac:dyDescent="0.2">
      <c r="B90" s="19" t="s">
        <v>349</v>
      </c>
      <c r="C90" s="19" t="s">
        <v>350</v>
      </c>
      <c r="D90" s="18"/>
      <c r="E90" s="9" t="s">
        <v>201</v>
      </c>
    </row>
    <row r="91" spans="1:9" ht="15.75" x14ac:dyDescent="0.3">
      <c r="A91" s="93" t="s">
        <v>220</v>
      </c>
      <c r="B91" s="20"/>
      <c r="C91" s="21"/>
      <c r="D91" t="s">
        <v>184</v>
      </c>
      <c r="E91" s="83"/>
    </row>
    <row r="92" spans="1:9" ht="15.75" x14ac:dyDescent="0.3">
      <c r="A92" s="94" t="s">
        <v>306</v>
      </c>
      <c r="B92" s="99">
        <v>1</v>
      </c>
      <c r="C92" s="99">
        <v>1</v>
      </c>
      <c r="E92" s="104" t="s">
        <v>351</v>
      </c>
    </row>
    <row r="93" spans="1:9" ht="15.75" x14ac:dyDescent="0.3">
      <c r="A93" s="94" t="s">
        <v>308</v>
      </c>
      <c r="B93" s="22">
        <f>(B94/90)^0.13</f>
        <v>1</v>
      </c>
      <c r="C93" s="22">
        <f>(C94/90)^0.13</f>
        <v>1</v>
      </c>
      <c r="D93" s="23"/>
      <c r="E93" s="83" t="s">
        <v>352</v>
      </c>
    </row>
    <row r="94" spans="1:9" x14ac:dyDescent="0.2">
      <c r="A94" s="95" t="s">
        <v>353</v>
      </c>
      <c r="B94" s="96">
        <v>90</v>
      </c>
      <c r="C94" s="96">
        <v>90</v>
      </c>
      <c r="D94" s="24" t="s">
        <v>354</v>
      </c>
      <c r="E94" s="83"/>
    </row>
    <row r="95" spans="1:9" x14ac:dyDescent="0.2">
      <c r="A95" s="94" t="s">
        <v>314</v>
      </c>
      <c r="B95" s="97">
        <v>0</v>
      </c>
      <c r="C95" s="97">
        <v>0</v>
      </c>
      <c r="D95" t="s">
        <v>184</v>
      </c>
      <c r="E95" s="83" t="s">
        <v>360</v>
      </c>
    </row>
    <row r="96" spans="1:9" ht="15.75" x14ac:dyDescent="0.3">
      <c r="A96" s="94" t="s">
        <v>316</v>
      </c>
      <c r="B96" s="97">
        <v>0</v>
      </c>
      <c r="C96" s="97">
        <v>0</v>
      </c>
      <c r="D96" t="s">
        <v>184</v>
      </c>
      <c r="E96" s="83" t="s">
        <v>356</v>
      </c>
    </row>
    <row r="97" spans="1:15" x14ac:dyDescent="0.2">
      <c r="A97" s="94" t="s">
        <v>320</v>
      </c>
      <c r="B97" s="22" t="e">
        <f>B99/(B98*B96)^(1/2)</f>
        <v>#DIV/0!</v>
      </c>
      <c r="C97" s="22" t="e">
        <f>C99/(C98*C96)^(1/2)</f>
        <v>#DIV/0!</v>
      </c>
      <c r="E97" s="83"/>
      <c r="L97" s="29"/>
      <c r="M97" s="29"/>
      <c r="N97" s="29"/>
    </row>
    <row r="98" spans="1:15" ht="14.25" x14ac:dyDescent="0.2">
      <c r="A98" s="94" t="s">
        <v>214</v>
      </c>
      <c r="B98" s="108">
        <v>32.200000000000003</v>
      </c>
      <c r="C98" s="108">
        <v>32.200000000000003</v>
      </c>
      <c r="D98" s="14" t="s">
        <v>215</v>
      </c>
      <c r="E98" s="83"/>
      <c r="L98" s="29"/>
      <c r="M98" s="29"/>
      <c r="N98" s="29"/>
    </row>
    <row r="99" spans="1:15" ht="15.75" x14ac:dyDescent="0.3">
      <c r="A99" s="94" t="s">
        <v>322</v>
      </c>
      <c r="B99" s="97">
        <v>0.84</v>
      </c>
      <c r="C99" s="97">
        <v>0.84</v>
      </c>
      <c r="D99" t="s">
        <v>181</v>
      </c>
      <c r="E99" s="83" t="s">
        <v>357</v>
      </c>
      <c r="K99" s="101"/>
      <c r="L99" s="29"/>
      <c r="M99" s="29"/>
      <c r="N99" s="29"/>
      <c r="O99" s="29"/>
    </row>
    <row r="100" spans="1:15" ht="15.75" x14ac:dyDescent="0.3">
      <c r="A100" s="94" t="s">
        <v>324</v>
      </c>
      <c r="B100" s="98" t="s">
        <v>358</v>
      </c>
      <c r="C100" s="98" t="s">
        <v>358</v>
      </c>
      <c r="D100" t="s">
        <v>227</v>
      </c>
      <c r="E100" s="83"/>
      <c r="K100" s="101"/>
      <c r="L100" s="29"/>
      <c r="M100" s="29"/>
      <c r="N100" s="29"/>
    </row>
    <row r="101" spans="1:15" ht="15.75" x14ac:dyDescent="0.3">
      <c r="A101" s="94" t="s">
        <v>326</v>
      </c>
      <c r="B101" s="98" t="s">
        <v>358</v>
      </c>
      <c r="C101" s="98" t="s">
        <v>358</v>
      </c>
      <c r="D101" t="s">
        <v>327</v>
      </c>
      <c r="E101" s="83"/>
      <c r="K101" s="101"/>
      <c r="L101" s="29"/>
      <c r="M101" s="29"/>
      <c r="N101" s="29"/>
      <c r="O101" s="29"/>
    </row>
    <row r="102" spans="1:15" x14ac:dyDescent="0.2">
      <c r="B102" s="18"/>
      <c r="C102" s="18"/>
      <c r="D102" s="18"/>
    </row>
    <row r="103" spans="1:15" ht="15.75" x14ac:dyDescent="0.3">
      <c r="A103" s="14" t="s">
        <v>329</v>
      </c>
      <c r="B103" s="18"/>
      <c r="C103" s="18"/>
      <c r="D103" s="18"/>
      <c r="E103" s="39" t="s">
        <v>330</v>
      </c>
    </row>
    <row r="104" spans="1:15" ht="15.75" x14ac:dyDescent="0.3">
      <c r="A104" t="s">
        <v>331</v>
      </c>
      <c r="B104" s="18"/>
      <c r="C104" s="18"/>
      <c r="D104" s="18"/>
      <c r="E104" s="39" t="s">
        <v>332</v>
      </c>
    </row>
    <row r="105" spans="1:15" ht="15.75" x14ac:dyDescent="0.3">
      <c r="A105" t="s">
        <v>359</v>
      </c>
      <c r="B105" s="18"/>
      <c r="C105" s="18"/>
      <c r="D105" s="18"/>
      <c r="E105" s="39" t="s">
        <v>332</v>
      </c>
    </row>
    <row r="107" spans="1:15" ht="16.5" thickBot="1" x14ac:dyDescent="0.35">
      <c r="A107" s="13" t="s">
        <v>220</v>
      </c>
      <c r="B107" s="25" t="e">
        <f>2.27*B92*B93*B95^0.43*B96^0.57*B97^0.61 + B96</f>
        <v>#DIV/0!</v>
      </c>
      <c r="C107" s="25" t="e">
        <f>2.27*C92*C93*C95^0.43*C96^0.57*C97^0.61 + C96</f>
        <v>#DIV/0!</v>
      </c>
      <c r="D107" s="8" t="s">
        <v>184</v>
      </c>
    </row>
  </sheetData>
  <pageMargins left="1" right="1" top="1" bottom="1" header="0.5" footer="0.5"/>
  <pageSetup scale="85" orientation="portrait" r:id="rId1"/>
  <headerFooter alignWithMargins="0">
    <oddFooter>&amp;R&amp;F
&amp;A
&amp;D</oddFooter>
  </headerFooter>
  <rowBreaks count="1" manualBreakCount="1">
    <brk id="53"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Q104"/>
  <sheetViews>
    <sheetView workbookViewId="0"/>
  </sheetViews>
  <sheetFormatPr defaultRowHeight="12.75" x14ac:dyDescent="0.2"/>
  <cols>
    <col min="1" max="1" width="12.7109375" customWidth="1"/>
    <col min="2" max="10" width="9.28515625" customWidth="1"/>
    <col min="12" max="12" width="32.42578125" bestFit="1" customWidth="1"/>
    <col min="13" max="15" width="12.85546875" customWidth="1"/>
  </cols>
  <sheetData>
    <row r="1" spans="1:10" x14ac:dyDescent="0.2">
      <c r="C1" s="75" t="s">
        <v>129</v>
      </c>
      <c r="D1" s="76" t="s">
        <v>130</v>
      </c>
      <c r="E1" s="5"/>
      <c r="F1" s="5"/>
      <c r="G1" s="75" t="s">
        <v>131</v>
      </c>
      <c r="H1" s="131" t="s">
        <v>132</v>
      </c>
      <c r="I1" s="75" t="s">
        <v>133</v>
      </c>
      <c r="J1" s="133">
        <v>42857</v>
      </c>
    </row>
    <row r="2" spans="1:10" x14ac:dyDescent="0.2">
      <c r="C2" s="77" t="s">
        <v>134</v>
      </c>
      <c r="D2" s="78" t="s">
        <v>135</v>
      </c>
      <c r="E2" s="16"/>
      <c r="F2" s="16"/>
      <c r="G2" s="77" t="s">
        <v>136</v>
      </c>
      <c r="H2" s="132" t="s">
        <v>132</v>
      </c>
      <c r="I2" s="77" t="s">
        <v>133</v>
      </c>
      <c r="J2" s="134">
        <v>42857</v>
      </c>
    </row>
    <row r="3" spans="1:10" x14ac:dyDescent="0.2">
      <c r="C3" s="77" t="s">
        <v>137</v>
      </c>
      <c r="D3" s="78" t="s">
        <v>108</v>
      </c>
      <c r="E3" s="16"/>
      <c r="F3" s="16"/>
      <c r="G3" s="77" t="s">
        <v>139</v>
      </c>
      <c r="H3" s="132">
        <v>1</v>
      </c>
      <c r="I3" s="77" t="s">
        <v>140</v>
      </c>
      <c r="J3" s="132" t="s">
        <v>141</v>
      </c>
    </row>
    <row r="4" spans="1:10" x14ac:dyDescent="0.2">
      <c r="C4" s="77" t="s">
        <v>142</v>
      </c>
      <c r="D4" s="135">
        <v>0</v>
      </c>
      <c r="E4" s="16"/>
      <c r="F4" s="16"/>
      <c r="G4" s="77" t="s">
        <v>143</v>
      </c>
      <c r="H4" s="136">
        <v>0</v>
      </c>
      <c r="I4" s="79"/>
      <c r="J4" s="132"/>
    </row>
    <row r="6" spans="1:10" ht="18" x14ac:dyDescent="0.25">
      <c r="A6" s="10" t="s">
        <v>147</v>
      </c>
    </row>
    <row r="7" spans="1:10" ht="18" x14ac:dyDescent="0.25">
      <c r="A7" s="10" t="s">
        <v>148</v>
      </c>
    </row>
    <row r="8" spans="1:10" x14ac:dyDescent="0.2">
      <c r="B8" t="s">
        <v>301</v>
      </c>
    </row>
    <row r="9" spans="1:10" x14ac:dyDescent="0.2">
      <c r="A9" s="9" t="s">
        <v>175</v>
      </c>
      <c r="B9" s="11" t="s">
        <v>302</v>
      </c>
    </row>
    <row r="10" spans="1:10" x14ac:dyDescent="0.2">
      <c r="B10" s="11" t="s">
        <v>177</v>
      </c>
    </row>
    <row r="11" spans="1:10" x14ac:dyDescent="0.2">
      <c r="B11" s="60" t="s">
        <v>303</v>
      </c>
    </row>
    <row r="12" spans="1:10" x14ac:dyDescent="0.2">
      <c r="A12" s="60"/>
    </row>
    <row r="13" spans="1:10" x14ac:dyDescent="0.2">
      <c r="A13" s="1" t="s">
        <v>361</v>
      </c>
    </row>
    <row r="14" spans="1:10" ht="12.75" customHeight="1" x14ac:dyDescent="0.2"/>
    <row r="15" spans="1:10" ht="15.75" x14ac:dyDescent="0.3">
      <c r="A15" s="139" t="s">
        <v>220</v>
      </c>
      <c r="B15" t="s">
        <v>184</v>
      </c>
      <c r="C15" t="s">
        <v>305</v>
      </c>
    </row>
    <row r="16" spans="1:10" ht="15.75" x14ac:dyDescent="0.3">
      <c r="A16" s="139" t="s">
        <v>216</v>
      </c>
      <c r="B16" t="s">
        <v>184</v>
      </c>
      <c r="C16" t="s">
        <v>362</v>
      </c>
    </row>
    <row r="17" spans="1:4" x14ac:dyDescent="0.2">
      <c r="A17" s="7"/>
      <c r="D17" t="s">
        <v>363</v>
      </c>
    </row>
    <row r="18" spans="1:4" x14ac:dyDescent="0.2">
      <c r="A18" s="183" t="s">
        <v>320</v>
      </c>
      <c r="C18" s="39" t="s">
        <v>364</v>
      </c>
    </row>
    <row r="19" spans="1:4" x14ac:dyDescent="0.2">
      <c r="D19" s="39" t="s">
        <v>365</v>
      </c>
    </row>
    <row r="20" spans="1:4" ht="15.75" x14ac:dyDescent="0.3">
      <c r="A20" s="139" t="s">
        <v>306</v>
      </c>
      <c r="C20" s="39" t="s">
        <v>307</v>
      </c>
    </row>
    <row r="21" spans="1:4" ht="15.75" x14ac:dyDescent="0.3">
      <c r="A21" s="139" t="s">
        <v>308</v>
      </c>
      <c r="C21" s="39" t="s">
        <v>309</v>
      </c>
    </row>
    <row r="22" spans="1:4" x14ac:dyDescent="0.2">
      <c r="A22" s="7"/>
      <c r="C22" s="39"/>
      <c r="D22" s="39" t="s">
        <v>310</v>
      </c>
    </row>
    <row r="23" spans="1:4" x14ac:dyDescent="0.2">
      <c r="A23" s="7"/>
      <c r="D23" s="12" t="s">
        <v>311</v>
      </c>
    </row>
    <row r="24" spans="1:4" x14ac:dyDescent="0.2">
      <c r="A24" s="7"/>
      <c r="D24" s="12" t="s">
        <v>312</v>
      </c>
    </row>
    <row r="25" spans="1:4" x14ac:dyDescent="0.2">
      <c r="A25" s="7"/>
      <c r="D25" s="12" t="s">
        <v>313</v>
      </c>
    </row>
    <row r="27" spans="1:4" ht="15.75" x14ac:dyDescent="0.3">
      <c r="A27" s="39" t="s">
        <v>366</v>
      </c>
      <c r="C27" s="39" t="s">
        <v>367</v>
      </c>
    </row>
    <row r="28" spans="1:4" ht="15.75" x14ac:dyDescent="0.3">
      <c r="A28" s="39" t="s">
        <v>331</v>
      </c>
      <c r="C28" s="39" t="s">
        <v>332</v>
      </c>
    </row>
    <row r="31" spans="1:4" ht="18" x14ac:dyDescent="0.25">
      <c r="A31" s="10" t="s">
        <v>147</v>
      </c>
    </row>
    <row r="32" spans="1:4" ht="18" x14ac:dyDescent="0.25">
      <c r="A32" s="89" t="s">
        <v>150</v>
      </c>
    </row>
    <row r="33" spans="1:17" s="15" customFormat="1" x14ac:dyDescent="0.2">
      <c r="A33" s="39"/>
      <c r="B33" s="39"/>
      <c r="C33" s="39"/>
      <c r="D33" s="39"/>
      <c r="E33" s="39"/>
      <c r="F33" s="39"/>
      <c r="G33" s="39"/>
      <c r="H33" s="39"/>
      <c r="I33" s="39"/>
      <c r="J33" s="39"/>
      <c r="K33" s="39"/>
      <c r="L33" s="39"/>
      <c r="M33" s="39"/>
      <c r="N33" s="39"/>
      <c r="O33" s="39"/>
      <c r="P33" s="39"/>
      <c r="Q33" s="39"/>
    </row>
    <row r="34" spans="1:17" x14ac:dyDescent="0.2">
      <c r="A34" s="1" t="s">
        <v>193</v>
      </c>
      <c r="B34" s="86" t="s">
        <v>194</v>
      </c>
      <c r="C34" s="5"/>
      <c r="D34" s="5"/>
      <c r="E34" s="5"/>
      <c r="F34" s="5"/>
      <c r="I34" s="7"/>
    </row>
    <row r="35" spans="1:17" x14ac:dyDescent="0.2">
      <c r="A35" s="1" t="s">
        <v>195</v>
      </c>
      <c r="B35" s="88" t="s">
        <v>333</v>
      </c>
      <c r="C35" s="16"/>
      <c r="D35" s="16"/>
      <c r="E35" s="16"/>
      <c r="F35" s="16"/>
      <c r="I35" s="7"/>
    </row>
    <row r="36" spans="1:17" x14ac:dyDescent="0.2">
      <c r="A36" s="1" t="s">
        <v>334</v>
      </c>
      <c r="B36" s="88" t="s">
        <v>335</v>
      </c>
      <c r="C36" s="16"/>
      <c r="D36" s="16"/>
      <c r="E36" s="16"/>
      <c r="F36" s="16"/>
      <c r="I36" s="7"/>
      <c r="M36" s="109"/>
      <c r="N36" s="109"/>
      <c r="O36" s="109"/>
      <c r="P36" s="109"/>
    </row>
    <row r="37" spans="1:17" x14ac:dyDescent="0.2">
      <c r="A37" s="1" t="s">
        <v>237</v>
      </c>
      <c r="B37" s="86" t="s">
        <v>336</v>
      </c>
      <c r="C37" s="5"/>
      <c r="D37" s="5"/>
      <c r="E37" s="5"/>
      <c r="F37" s="5"/>
      <c r="I37" s="7"/>
      <c r="M37" s="109"/>
      <c r="N37" s="109"/>
      <c r="O37" s="109"/>
      <c r="P37" s="109"/>
    </row>
    <row r="38" spans="1:17" x14ac:dyDescent="0.2">
      <c r="I38" s="7"/>
      <c r="L38" s="7"/>
      <c r="M38" s="109"/>
      <c r="N38" s="109"/>
      <c r="O38" s="109"/>
      <c r="P38" s="109"/>
    </row>
    <row r="39" spans="1:17" x14ac:dyDescent="0.2">
      <c r="A39" s="1" t="s">
        <v>337</v>
      </c>
      <c r="B39" t="s">
        <v>338</v>
      </c>
      <c r="I39" s="7"/>
      <c r="L39" s="7"/>
      <c r="M39" s="109"/>
      <c r="N39" s="109"/>
      <c r="O39" s="109"/>
      <c r="P39" s="109"/>
    </row>
    <row r="40" spans="1:17" ht="15.75" x14ac:dyDescent="0.3">
      <c r="B40" t="s">
        <v>339</v>
      </c>
      <c r="I40" s="7"/>
      <c r="L40" s="7"/>
      <c r="M40" s="110"/>
      <c r="N40" s="110"/>
      <c r="O40" s="110"/>
      <c r="P40" s="109"/>
    </row>
    <row r="41" spans="1:17" ht="15.75" x14ac:dyDescent="0.3">
      <c r="B41" t="s">
        <v>340</v>
      </c>
      <c r="I41" s="7"/>
      <c r="M41" s="109"/>
      <c r="N41" s="109"/>
      <c r="O41" s="109"/>
      <c r="P41" s="109"/>
    </row>
    <row r="42" spans="1:17" x14ac:dyDescent="0.2">
      <c r="I42" s="7"/>
    </row>
    <row r="43" spans="1:17" x14ac:dyDescent="0.2">
      <c r="I43" s="7"/>
    </row>
    <row r="44" spans="1:17" x14ac:dyDescent="0.2">
      <c r="B44" s="83" t="s">
        <v>341</v>
      </c>
      <c r="I44" s="7"/>
    </row>
    <row r="45" spans="1:17" x14ac:dyDescent="0.2">
      <c r="B45" s="90" t="s">
        <v>342</v>
      </c>
      <c r="I45" s="7"/>
    </row>
    <row r="46" spans="1:17" x14ac:dyDescent="0.2">
      <c r="I46" s="7"/>
    </row>
    <row r="47" spans="1:17" x14ac:dyDescent="0.2">
      <c r="I47" s="7"/>
    </row>
    <row r="48" spans="1:17" x14ac:dyDescent="0.2">
      <c r="A48" s="1" t="s">
        <v>343</v>
      </c>
      <c r="B48" s="39" t="s">
        <v>344</v>
      </c>
      <c r="I48" s="7"/>
    </row>
    <row r="49" spans="1:10" x14ac:dyDescent="0.2">
      <c r="B49" s="83" t="s">
        <v>345</v>
      </c>
      <c r="I49" s="7"/>
    </row>
    <row r="50" spans="1:10" x14ac:dyDescent="0.2">
      <c r="B50" s="83" t="s">
        <v>346</v>
      </c>
      <c r="I50" s="7"/>
    </row>
    <row r="51" spans="1:10" x14ac:dyDescent="0.2">
      <c r="I51" s="7"/>
    </row>
    <row r="52" spans="1:10" x14ac:dyDescent="0.2">
      <c r="I52" s="7"/>
    </row>
    <row r="53" spans="1:10" x14ac:dyDescent="0.2">
      <c r="I53" s="7"/>
    </row>
    <row r="54" spans="1:10" x14ac:dyDescent="0.2">
      <c r="I54" s="7"/>
    </row>
    <row r="55" spans="1:10" x14ac:dyDescent="0.2">
      <c r="C55" s="75" t="s">
        <v>129</v>
      </c>
      <c r="D55" s="76" t="s">
        <v>130</v>
      </c>
      <c r="E55" s="5"/>
      <c r="F55" s="5"/>
      <c r="G55" s="75" t="s">
        <v>131</v>
      </c>
      <c r="H55" s="131" t="s">
        <v>132</v>
      </c>
      <c r="I55" s="75" t="s">
        <v>133</v>
      </c>
      <c r="J55" s="133">
        <v>42857</v>
      </c>
    </row>
    <row r="56" spans="1:10" x14ac:dyDescent="0.2">
      <c r="C56" s="77" t="s">
        <v>134</v>
      </c>
      <c r="D56" s="78" t="s">
        <v>135</v>
      </c>
      <c r="E56" s="16"/>
      <c r="F56" s="16"/>
      <c r="G56" s="77" t="s">
        <v>136</v>
      </c>
      <c r="H56" s="132" t="s">
        <v>132</v>
      </c>
      <c r="I56" s="77" t="s">
        <v>133</v>
      </c>
      <c r="J56" s="134">
        <v>42857</v>
      </c>
    </row>
    <row r="57" spans="1:10" x14ac:dyDescent="0.2">
      <c r="C57" s="77" t="s">
        <v>137</v>
      </c>
      <c r="D57" s="78" t="s">
        <v>108</v>
      </c>
      <c r="E57" s="16"/>
      <c r="F57" s="16"/>
      <c r="G57" s="77" t="s">
        <v>139</v>
      </c>
      <c r="H57" s="132">
        <v>1</v>
      </c>
      <c r="I57" s="77" t="s">
        <v>140</v>
      </c>
      <c r="J57" s="132" t="s">
        <v>141</v>
      </c>
    </row>
    <row r="58" spans="1:10" x14ac:dyDescent="0.2">
      <c r="C58" s="77" t="s">
        <v>142</v>
      </c>
      <c r="D58" s="135">
        <v>0</v>
      </c>
      <c r="E58" s="16"/>
      <c r="F58" s="16"/>
      <c r="G58" s="77" t="s">
        <v>143</v>
      </c>
      <c r="H58" s="136">
        <v>0</v>
      </c>
      <c r="I58" s="79"/>
      <c r="J58" s="132"/>
    </row>
    <row r="59" spans="1:10" x14ac:dyDescent="0.2">
      <c r="C59" s="144"/>
      <c r="D59" s="145"/>
      <c r="G59" s="140"/>
      <c r="H59" s="141"/>
      <c r="I59" s="142"/>
      <c r="J59" s="143"/>
    </row>
    <row r="60" spans="1:10" x14ac:dyDescent="0.2">
      <c r="C60" s="140"/>
      <c r="D60" s="146"/>
      <c r="G60" s="140"/>
      <c r="H60" s="141"/>
      <c r="I60" s="142"/>
      <c r="J60" s="143"/>
    </row>
    <row r="61" spans="1:10" x14ac:dyDescent="0.2">
      <c r="A61" s="1" t="s">
        <v>347</v>
      </c>
      <c r="B61" s="91"/>
      <c r="C61" s="5"/>
      <c r="D61" s="5"/>
    </row>
    <row r="62" spans="1:10" x14ac:dyDescent="0.2">
      <c r="A62" s="1" t="s">
        <v>218</v>
      </c>
      <c r="B62" s="92"/>
      <c r="C62" s="16"/>
      <c r="D62" s="16"/>
    </row>
    <row r="63" spans="1:10" x14ac:dyDescent="0.2">
      <c r="A63" s="1" t="s">
        <v>197</v>
      </c>
      <c r="B63" s="92"/>
      <c r="C63" s="16"/>
      <c r="D63" s="16"/>
    </row>
    <row r="64" spans="1:10" x14ac:dyDescent="0.2">
      <c r="A64" s="17" t="s">
        <v>368</v>
      </c>
    </row>
    <row r="66" spans="1:5" x14ac:dyDescent="0.2">
      <c r="B66" s="19" t="s">
        <v>349</v>
      </c>
      <c r="C66" s="19" t="s">
        <v>350</v>
      </c>
      <c r="D66" s="19"/>
      <c r="E66" s="9" t="s">
        <v>201</v>
      </c>
    </row>
    <row r="67" spans="1:5" ht="15.75" x14ac:dyDescent="0.3">
      <c r="A67" s="93" t="s">
        <v>220</v>
      </c>
      <c r="B67" s="27"/>
      <c r="C67" s="27"/>
      <c r="D67" t="s">
        <v>184</v>
      </c>
      <c r="E67" s="83"/>
    </row>
    <row r="68" spans="1:5" ht="15.75" x14ac:dyDescent="0.3">
      <c r="A68" s="94" t="s">
        <v>216</v>
      </c>
      <c r="B68" s="97"/>
      <c r="C68" s="96"/>
      <c r="D68" t="s">
        <v>184</v>
      </c>
      <c r="E68" s="83"/>
    </row>
    <row r="69" spans="1:5" ht="15.75" x14ac:dyDescent="0.3">
      <c r="A69" s="94" t="s">
        <v>306</v>
      </c>
      <c r="B69" s="99"/>
      <c r="C69" s="99"/>
      <c r="D69" s="18"/>
      <c r="E69" s="83"/>
    </row>
    <row r="70" spans="1:5" ht="15.75" x14ac:dyDescent="0.3">
      <c r="A70" s="94" t="s">
        <v>308</v>
      </c>
      <c r="B70" s="22">
        <f>(B71/90)^0.13</f>
        <v>0</v>
      </c>
      <c r="C70" s="22">
        <f>(C71/90)^0.13</f>
        <v>0</v>
      </c>
      <c r="D70" s="23"/>
      <c r="E70" s="83"/>
    </row>
    <row r="71" spans="1:5" x14ac:dyDescent="0.2">
      <c r="A71" s="95" t="s">
        <v>353</v>
      </c>
      <c r="B71" s="96"/>
      <c r="C71" s="96"/>
      <c r="D71" s="24" t="s">
        <v>354</v>
      </c>
      <c r="E71" s="83"/>
    </row>
    <row r="72" spans="1:5" ht="15.75" x14ac:dyDescent="0.3">
      <c r="A72" s="94" t="s">
        <v>369</v>
      </c>
      <c r="B72" s="22" t="e">
        <f>B73/(B74*B75)^(1/2)</f>
        <v>#DIV/0!</v>
      </c>
      <c r="C72" s="22" t="e">
        <f>C73/(C74*C75)^(1/2)</f>
        <v>#DIV/0!</v>
      </c>
      <c r="D72" s="28"/>
      <c r="E72" s="83"/>
    </row>
    <row r="73" spans="1:5" x14ac:dyDescent="0.2">
      <c r="A73" s="94" t="s">
        <v>207</v>
      </c>
      <c r="B73" s="97"/>
      <c r="C73" s="97"/>
      <c r="D73" s="14" t="s">
        <v>181</v>
      </c>
      <c r="E73" s="83"/>
    </row>
    <row r="74" spans="1:5" ht="14.25" x14ac:dyDescent="0.2">
      <c r="A74" s="94" t="s">
        <v>214</v>
      </c>
      <c r="B74" s="108">
        <v>32.200000000000003</v>
      </c>
      <c r="C74" s="108">
        <v>32.200000000000003</v>
      </c>
      <c r="D74" s="14" t="s">
        <v>215</v>
      </c>
      <c r="E74" s="83"/>
    </row>
    <row r="75" spans="1:5" x14ac:dyDescent="0.2">
      <c r="A75" s="94" t="s">
        <v>183</v>
      </c>
      <c r="B75" s="97"/>
      <c r="C75" s="96"/>
      <c r="D75" s="14" t="s">
        <v>184</v>
      </c>
      <c r="E75" s="83"/>
    </row>
    <row r="77" spans="1:5" ht="15.75" x14ac:dyDescent="0.3">
      <c r="A77" s="39" t="s">
        <v>366</v>
      </c>
      <c r="E77" s="39" t="s">
        <v>367</v>
      </c>
    </row>
    <row r="78" spans="1:5" ht="15.75" x14ac:dyDescent="0.3">
      <c r="A78" s="39" t="s">
        <v>331</v>
      </c>
      <c r="E78" s="39" t="s">
        <v>332</v>
      </c>
    </row>
    <row r="79" spans="1:5" ht="14.25" x14ac:dyDescent="0.2">
      <c r="A79" s="39" t="s">
        <v>370</v>
      </c>
      <c r="E79" s="39"/>
    </row>
    <row r="81" spans="1:5" ht="16.5" thickBot="1" x14ac:dyDescent="0.35">
      <c r="A81" s="13" t="s">
        <v>220</v>
      </c>
      <c r="B81" s="26" t="e">
        <f>4*B68*(B69/0.55)*B70*B72^0.33</f>
        <v>#DIV/0!</v>
      </c>
      <c r="C81" s="184" t="e">
        <f>4*C68*(C69/0.55)*C70*C72^0.33</f>
        <v>#DIV/0!</v>
      </c>
      <c r="D81" s="8" t="s">
        <v>184</v>
      </c>
    </row>
    <row r="82" spans="1:5" x14ac:dyDescent="0.2">
      <c r="B82" s="18"/>
      <c r="C82" s="18"/>
      <c r="D82" s="18"/>
    </row>
    <row r="84" spans="1:5" x14ac:dyDescent="0.2">
      <c r="A84" s="1" t="s">
        <v>347</v>
      </c>
      <c r="B84" s="91"/>
      <c r="C84" s="5"/>
      <c r="D84" s="5"/>
    </row>
    <row r="85" spans="1:5" x14ac:dyDescent="0.2">
      <c r="A85" s="1" t="s">
        <v>218</v>
      </c>
      <c r="B85" s="92"/>
      <c r="C85" s="16"/>
      <c r="D85" s="16"/>
    </row>
    <row r="86" spans="1:5" x14ac:dyDescent="0.2">
      <c r="A86" s="1" t="s">
        <v>197</v>
      </c>
      <c r="B86" s="92"/>
      <c r="C86" s="16"/>
      <c r="D86" s="16"/>
    </row>
    <row r="87" spans="1:5" x14ac:dyDescent="0.2">
      <c r="A87" s="17" t="s">
        <v>368</v>
      </c>
    </row>
    <row r="89" spans="1:5" x14ac:dyDescent="0.2">
      <c r="B89" s="19" t="s">
        <v>349</v>
      </c>
      <c r="C89" s="19" t="s">
        <v>350</v>
      </c>
      <c r="D89" s="19"/>
      <c r="E89" s="9" t="s">
        <v>201</v>
      </c>
    </row>
    <row r="90" spans="1:5" ht="15.75" x14ac:dyDescent="0.3">
      <c r="A90" s="93" t="s">
        <v>220</v>
      </c>
      <c r="B90" s="27"/>
      <c r="C90" s="27"/>
      <c r="D90" t="s">
        <v>184</v>
      </c>
      <c r="E90" s="83"/>
    </row>
    <row r="91" spans="1:5" ht="15.75" x14ac:dyDescent="0.3">
      <c r="A91" s="94" t="s">
        <v>216</v>
      </c>
      <c r="B91" s="97"/>
      <c r="C91" s="96"/>
      <c r="D91" t="s">
        <v>184</v>
      </c>
      <c r="E91" s="83"/>
    </row>
    <row r="92" spans="1:5" ht="15.75" x14ac:dyDescent="0.3">
      <c r="A92" s="94" t="s">
        <v>306</v>
      </c>
      <c r="B92" s="99"/>
      <c r="C92" s="99"/>
      <c r="D92" s="18"/>
      <c r="E92" s="83"/>
    </row>
    <row r="93" spans="1:5" ht="15.75" x14ac:dyDescent="0.3">
      <c r="A93" s="94" t="s">
        <v>308</v>
      </c>
      <c r="B93" s="22">
        <f>(B94/90)^0.13</f>
        <v>0</v>
      </c>
      <c r="C93" s="22">
        <f>(C94/90)^0.13</f>
        <v>0</v>
      </c>
      <c r="D93" s="23"/>
      <c r="E93" s="83"/>
    </row>
    <row r="94" spans="1:5" x14ac:dyDescent="0.2">
      <c r="A94" s="95" t="s">
        <v>353</v>
      </c>
      <c r="B94" s="96"/>
      <c r="C94" s="96"/>
      <c r="D94" s="24" t="s">
        <v>354</v>
      </c>
      <c r="E94" s="83"/>
    </row>
    <row r="95" spans="1:5" ht="15.75" x14ac:dyDescent="0.3">
      <c r="A95" s="94" t="s">
        <v>369</v>
      </c>
      <c r="B95" s="22" t="e">
        <f>B96/(B97*B98)^(1/2)</f>
        <v>#DIV/0!</v>
      </c>
      <c r="C95" s="22" t="e">
        <f>C96/(C97*C98)^(1/2)</f>
        <v>#DIV/0!</v>
      </c>
      <c r="D95" s="28"/>
      <c r="E95" s="83"/>
    </row>
    <row r="96" spans="1:5" x14ac:dyDescent="0.2">
      <c r="A96" s="94" t="s">
        <v>207</v>
      </c>
      <c r="B96" s="97"/>
      <c r="C96" s="97"/>
      <c r="D96" s="14" t="s">
        <v>181</v>
      </c>
      <c r="E96" s="83"/>
    </row>
    <row r="97" spans="1:5" ht="14.25" x14ac:dyDescent="0.2">
      <c r="A97" s="94" t="s">
        <v>214</v>
      </c>
      <c r="B97" s="108">
        <v>32.200000000000003</v>
      </c>
      <c r="C97" s="108">
        <v>32.200000000000003</v>
      </c>
      <c r="D97" s="14" t="s">
        <v>215</v>
      </c>
      <c r="E97" s="83"/>
    </row>
    <row r="98" spans="1:5" x14ac:dyDescent="0.2">
      <c r="A98" s="94" t="s">
        <v>183</v>
      </c>
      <c r="B98" s="97"/>
      <c r="C98" s="96"/>
      <c r="D98" s="14" t="s">
        <v>184</v>
      </c>
      <c r="E98" s="83"/>
    </row>
    <row r="100" spans="1:5" ht="15.75" x14ac:dyDescent="0.3">
      <c r="A100" s="39" t="s">
        <v>366</v>
      </c>
      <c r="E100" s="39" t="s">
        <v>367</v>
      </c>
    </row>
    <row r="101" spans="1:5" ht="15.75" x14ac:dyDescent="0.3">
      <c r="A101" s="39" t="s">
        <v>331</v>
      </c>
      <c r="E101" s="39" t="s">
        <v>332</v>
      </c>
    </row>
    <row r="102" spans="1:5" ht="14.25" x14ac:dyDescent="0.2">
      <c r="A102" s="39" t="s">
        <v>370</v>
      </c>
      <c r="E102" s="39"/>
    </row>
    <row r="104" spans="1:5" ht="16.5" thickBot="1" x14ac:dyDescent="0.35">
      <c r="A104" s="13" t="s">
        <v>220</v>
      </c>
      <c r="B104" s="26" t="e">
        <f>4*B91*(B92/0.55)*B93*B95^0.33</f>
        <v>#DIV/0!</v>
      </c>
      <c r="C104" s="184" t="e">
        <f>4*C91*(C92/0.55)*C93*C95^0.33</f>
        <v>#DIV/0!</v>
      </c>
      <c r="D104" s="8" t="s">
        <v>184</v>
      </c>
    </row>
  </sheetData>
  <phoneticPr fontId="0" type="noConversion"/>
  <pageMargins left="1" right="1" top="1" bottom="1" header="0.5" footer="0.5"/>
  <pageSetup scale="85" orientation="portrait" r:id="rId1"/>
  <headerFooter alignWithMargins="0">
    <oddFooter>&amp;R&amp;F
&amp;A
&amp;D</oddFooter>
  </headerFooter>
  <rowBreaks count="1" manualBreakCount="1">
    <brk id="54"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23D0F3AD3AEDB4AA94C98C7DF5C9A0D" ma:contentTypeVersion="4" ma:contentTypeDescription="Create a new document." ma:contentTypeScope="" ma:versionID="f2161af0bd60f56ca2ddfe93c3c41d68">
  <xsd:schema xmlns:xsd="http://www.w3.org/2001/XMLSchema" xmlns:xs="http://www.w3.org/2001/XMLSchema" xmlns:p="http://schemas.microsoft.com/office/2006/metadata/properties" xmlns:ns2="9907e9ca-cf66-4da1-b12d-37fb95f3aaa2" targetNamespace="http://schemas.microsoft.com/office/2006/metadata/properties" ma:root="true" ma:fieldsID="8419be70a9b981d3ca78e88f10e6222d" ns2:_="">
    <xsd:import namespace="9907e9ca-cf66-4da1-b12d-37fb95f3aaa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07e9ca-cf66-4da1-b12d-37fb95f3aa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63A6C9-4714-408B-AA8E-1BE8A3CBB605}">
  <ds:schemaRefs>
    <ds:schemaRef ds:uri="http://schemas.openxmlformats.org/package/2006/metadata/core-properties"/>
    <ds:schemaRef ds:uri="http://schemas.microsoft.com/office/2006/metadata/properties"/>
    <ds:schemaRef ds:uri="9907e9ca-cf66-4da1-b12d-37fb95f3aaa2"/>
    <ds:schemaRef ds:uri="http://www.w3.org/XML/1998/namespace"/>
    <ds:schemaRef ds:uri="http://purl.org/dc/dcmitype/"/>
    <ds:schemaRef ds:uri="http://purl.org/dc/elements/1.1/"/>
    <ds:schemaRef ds:uri="http://schemas.microsoft.com/office/infopath/2007/PartnerControls"/>
    <ds:schemaRef ds:uri="http://schemas.microsoft.com/office/2006/documentManagement/types"/>
    <ds:schemaRef ds:uri="http://purl.org/dc/terms/"/>
  </ds:schemaRefs>
</ds:datastoreItem>
</file>

<file path=customXml/itemProps2.xml><?xml version="1.0" encoding="utf-8"?>
<ds:datastoreItem xmlns:ds="http://schemas.openxmlformats.org/officeDocument/2006/customXml" ds:itemID="{24B38B96-EA0F-4BBF-B25E-6106CD0072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07e9ca-cf66-4da1-b12d-37fb95f3aa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ABDFBF-D5E7-4999-B7EF-1E99245B8D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Template_Notes</vt:lpstr>
      <vt:lpstr>Geotech_Data</vt:lpstr>
      <vt:lpstr>Coversheet</vt:lpstr>
      <vt:lpstr>CS Type LChR</vt:lpstr>
      <vt:lpstr>VCS (Live-Bed)</vt:lpstr>
      <vt:lpstr>VCS (Clear-Water)</vt:lpstr>
      <vt:lpstr>VCS (Live-Bed Overtopping)</vt:lpstr>
      <vt:lpstr>Abutment Froelich</vt:lpstr>
      <vt:lpstr>Abutment HIRE</vt:lpstr>
      <vt:lpstr>Abutment NCHRP (Live-Bed)</vt:lpstr>
      <vt:lpstr>Abutment NCHRP (Clear-Water)</vt:lpstr>
      <vt:lpstr>SMS Output</vt:lpstr>
      <vt:lpstr>Bend Scour</vt:lpstr>
      <vt:lpstr>Pier Scour</vt:lpstr>
      <vt:lpstr>Complex Pier Scour PC Case 1</vt:lpstr>
      <vt:lpstr>Pier K2</vt:lpstr>
      <vt:lpstr>Wall Scour EQ 4.3</vt:lpstr>
      <vt:lpstr>Wall Scour EQ 4.4</vt:lpstr>
      <vt:lpstr>'Abutment Froelich'!Print_Area</vt:lpstr>
      <vt:lpstr>'Abutment HIRE'!Print_Area</vt:lpstr>
      <vt:lpstr>'Abutment NCHRP (Clear-Water)'!Print_Area</vt:lpstr>
      <vt:lpstr>'Abutment NCHRP (Live-Bed)'!Print_Area</vt:lpstr>
      <vt:lpstr>'Bend Scour'!Print_Area</vt:lpstr>
      <vt:lpstr>'Complex Pier Scour PC Case 1'!Print_Area</vt:lpstr>
      <vt:lpstr>Coversheet!Print_Area</vt:lpstr>
      <vt:lpstr>'CS Type LChR'!Print_Area</vt:lpstr>
      <vt:lpstr>'Pier Scour'!Print_Area</vt:lpstr>
      <vt:lpstr>'VCS (Clear-Water)'!Print_Area</vt:lpstr>
      <vt:lpstr>'VCS (Live-Bed Overtopping)'!Print_Area</vt:lpstr>
      <vt:lpstr>'VCS (Live-Bed)'!Print_Area</vt:lpstr>
      <vt:lpstr>'Abutment Froelich'!Print_Titles</vt:lpstr>
      <vt:lpstr>'Abutment HIRE'!Print_Titles</vt:lpstr>
      <vt:lpstr>'Abutment NCHRP (Clear-Water)'!Print_Titles</vt:lpstr>
      <vt:lpstr>'Abutment NCHRP (Live-Bed)'!Print_Titles</vt:lpstr>
      <vt:lpstr>'Complex Pier Scour PC Case 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Bend Scour Template</dc:title>
  <dc:subject>Bend Scour Template</dc:subject>
  <dc:creator>WSDOT Hydraulics</dc:creator>
  <cp:keywords>Bend Scour Template</cp:keywords>
  <dc:description/>
  <cp:lastModifiedBy>Williams, Stephanie</cp:lastModifiedBy>
  <cp:revision/>
  <cp:lastPrinted>2022-12-13T17:59:08Z</cp:lastPrinted>
  <dcterms:created xsi:type="dcterms:W3CDTF">2008-01-22T21:01:51Z</dcterms:created>
  <dcterms:modified xsi:type="dcterms:W3CDTF">2023-06-07T20:38:24Z</dcterms:modified>
  <cp:category>Bend Scour Template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0x010100C23D0F3AD3AEDB4AA94C98C7DF5C9A0D</vt:lpwstr>
  </property>
  <property fmtid="{D5CDD505-2E9C-101B-9397-08002B2CF9AE}" pid="3" name="Folder_Number">
    <vt:lpwstr/>
  </property>
  <property fmtid="{D5CDD505-2E9C-101B-9397-08002B2CF9AE}" pid="4" name="Folder_Code">
    <vt:lpwstr/>
  </property>
  <property fmtid="{D5CDD505-2E9C-101B-9397-08002B2CF9AE}" pid="5" name="Folder_Name">
    <vt:lpwstr/>
  </property>
  <property fmtid="{D5CDD505-2E9C-101B-9397-08002B2CF9AE}" pid="6" name="Folder_Description">
    <vt:lpwstr/>
  </property>
  <property fmtid="{D5CDD505-2E9C-101B-9397-08002B2CF9AE}" pid="7" name="/Folder_Name/">
    <vt:lpwstr/>
  </property>
  <property fmtid="{D5CDD505-2E9C-101B-9397-08002B2CF9AE}" pid="8" name="/Folder_Description/">
    <vt:lpwstr/>
  </property>
  <property fmtid="{D5CDD505-2E9C-101B-9397-08002B2CF9AE}" pid="9" name="Folder_Version">
    <vt:lpwstr/>
  </property>
  <property fmtid="{D5CDD505-2E9C-101B-9397-08002B2CF9AE}" pid="10" name="Folder_VersionSeq">
    <vt:lpwstr/>
  </property>
  <property fmtid="{D5CDD505-2E9C-101B-9397-08002B2CF9AE}" pid="11" name="Folder_Manager">
    <vt:lpwstr/>
  </property>
  <property fmtid="{D5CDD505-2E9C-101B-9397-08002B2CF9AE}" pid="12" name="Folder_ManagerDesc">
    <vt:lpwstr/>
  </property>
  <property fmtid="{D5CDD505-2E9C-101B-9397-08002B2CF9AE}" pid="13" name="Folder_Storage">
    <vt:lpwstr/>
  </property>
  <property fmtid="{D5CDD505-2E9C-101B-9397-08002B2CF9AE}" pid="14" name="Folder_StorageDesc">
    <vt:lpwstr/>
  </property>
  <property fmtid="{D5CDD505-2E9C-101B-9397-08002B2CF9AE}" pid="15" name="Folder_Creator">
    <vt:lpwstr/>
  </property>
  <property fmtid="{D5CDD505-2E9C-101B-9397-08002B2CF9AE}" pid="16" name="Folder_CreatorDesc">
    <vt:lpwstr/>
  </property>
  <property fmtid="{D5CDD505-2E9C-101B-9397-08002B2CF9AE}" pid="17" name="Folder_CreateDate">
    <vt:lpwstr/>
  </property>
  <property fmtid="{D5CDD505-2E9C-101B-9397-08002B2CF9AE}" pid="18" name="Folder_Updater">
    <vt:lpwstr/>
  </property>
  <property fmtid="{D5CDD505-2E9C-101B-9397-08002B2CF9AE}" pid="19" name="Folder_UpdaterDesc">
    <vt:lpwstr/>
  </property>
  <property fmtid="{D5CDD505-2E9C-101B-9397-08002B2CF9AE}" pid="20" name="Folder_UpdateDate">
    <vt:lpwstr/>
  </property>
  <property fmtid="{D5CDD505-2E9C-101B-9397-08002B2CF9AE}" pid="21" name="Document_Number">
    <vt:lpwstr/>
  </property>
  <property fmtid="{D5CDD505-2E9C-101B-9397-08002B2CF9AE}" pid="22" name="Document_Name">
    <vt:lpwstr/>
  </property>
  <property fmtid="{D5CDD505-2E9C-101B-9397-08002B2CF9AE}" pid="23" name="Document_FileName">
    <vt:lpwstr/>
  </property>
  <property fmtid="{D5CDD505-2E9C-101B-9397-08002B2CF9AE}" pid="24" name="Document_Version">
    <vt:lpwstr/>
  </property>
  <property fmtid="{D5CDD505-2E9C-101B-9397-08002B2CF9AE}" pid="25" name="Document_VersionSeq">
    <vt:lpwstr/>
  </property>
  <property fmtid="{D5CDD505-2E9C-101B-9397-08002B2CF9AE}" pid="26" name="Document_Creator">
    <vt:lpwstr/>
  </property>
  <property fmtid="{D5CDD505-2E9C-101B-9397-08002B2CF9AE}" pid="27" name="Document_CreatorDesc">
    <vt:lpwstr/>
  </property>
  <property fmtid="{D5CDD505-2E9C-101B-9397-08002B2CF9AE}" pid="28" name="Document_CreateDate">
    <vt:lpwstr/>
  </property>
  <property fmtid="{D5CDD505-2E9C-101B-9397-08002B2CF9AE}" pid="29" name="Document_Updater">
    <vt:lpwstr/>
  </property>
  <property fmtid="{D5CDD505-2E9C-101B-9397-08002B2CF9AE}" pid="30" name="Document_UpdaterDesc">
    <vt:lpwstr/>
  </property>
  <property fmtid="{D5CDD505-2E9C-101B-9397-08002B2CF9AE}" pid="31" name="Document_UpdateDate">
    <vt:lpwstr/>
  </property>
  <property fmtid="{D5CDD505-2E9C-101B-9397-08002B2CF9AE}" pid="32" name="Document_Size">
    <vt:lpwstr/>
  </property>
  <property fmtid="{D5CDD505-2E9C-101B-9397-08002B2CF9AE}" pid="33" name="Document_Storage">
    <vt:lpwstr/>
  </property>
  <property fmtid="{D5CDD505-2E9C-101B-9397-08002B2CF9AE}" pid="34" name="Document_StorageDesc">
    <vt:lpwstr/>
  </property>
  <property fmtid="{D5CDD505-2E9C-101B-9397-08002B2CF9AE}" pid="35" name="Document_Department">
    <vt:lpwstr/>
  </property>
  <property fmtid="{D5CDD505-2E9C-101B-9397-08002B2CF9AE}" pid="36" name="Document_DepartmentDesc">
    <vt:lpwstr/>
  </property>
</Properties>
</file>