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https://wsdot-my.sharepoint.com/personal/willisr_wsdot_wa_gov/Documents/Desktop/"/>
    </mc:Choice>
  </mc:AlternateContent>
  <xr:revisionPtr revIDLastSave="3" documentId="11_F81602E8CFCF570AF5B34A566EC03EF989438E21" xr6:coauthVersionLast="47" xr6:coauthVersionMax="47" xr10:uidLastSave="{DD21A3FD-EED1-4A8F-A317-99098ED2FAAD}"/>
  <bookViews>
    <workbookView xWindow="-120" yWindow="-120" windowWidth="29040" windowHeight="15840" activeTab="1" xr2:uid="{00000000-000D-0000-FFFF-FFFF00000000}"/>
  </bookViews>
  <sheets>
    <sheet name="Rough Chan Incipient Motion" sheetId="14" r:id="rId1"/>
    <sheet name="Average" sheetId="7" r:id="rId2"/>
    <sheet name="USFS Reference " sheetId="13" r:id="rId3"/>
  </sheets>
  <definedNames>
    <definedName name="_xlnm.Print_Area" localSheetId="1">Average!$A$1:$X$101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1" i="14" l="1"/>
  <c r="D82" i="14"/>
  <c r="D83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K38" i="14"/>
  <c r="C34" i="14"/>
  <c r="B34" i="14"/>
  <c r="B33" i="14"/>
  <c r="E32" i="14"/>
  <c r="E33" i="14" s="1"/>
  <c r="C32" i="14"/>
  <c r="B32" i="14"/>
  <c r="B31" i="14"/>
  <c r="F30" i="14"/>
  <c r="F31" i="14" s="1"/>
  <c r="F32" i="14" s="1"/>
  <c r="D30" i="14"/>
  <c r="B30" i="14"/>
  <c r="B29" i="14"/>
  <c r="H28" i="14"/>
  <c r="H29" i="14" s="1"/>
  <c r="H30" i="14" s="1"/>
  <c r="B28" i="14"/>
  <c r="B27" i="14"/>
  <c r="B26" i="14"/>
  <c r="H25" i="14"/>
  <c r="H26" i="14" s="1"/>
  <c r="B25" i="14"/>
  <c r="B24" i="14"/>
  <c r="B23" i="14"/>
  <c r="B22" i="14"/>
  <c r="B21" i="14"/>
  <c r="B20" i="14"/>
  <c r="B19" i="14"/>
  <c r="B18" i="14"/>
  <c r="B17" i="14"/>
  <c r="H31" i="14" l="1"/>
  <c r="H32" i="14" s="1"/>
  <c r="H33" i="14" s="1"/>
  <c r="G29" i="14" s="1"/>
  <c r="G30" i="14" s="1"/>
  <c r="G31" i="14" s="1"/>
  <c r="F33" i="14"/>
  <c r="E28" i="14"/>
  <c r="D31" i="14"/>
  <c r="G32" i="14" l="1"/>
  <c r="F27" i="14"/>
  <c r="G26" i="14"/>
  <c r="E29" i="14"/>
  <c r="G27" i="14" l="1"/>
  <c r="E30" i="14"/>
  <c r="G33" i="14"/>
  <c r="F28" i="14"/>
  <c r="I18" i="7"/>
  <c r="Q69" i="7" l="1"/>
  <c r="P69" i="7"/>
  <c r="M45" i="7"/>
  <c r="M47" i="7" s="1"/>
  <c r="I47" i="7" s="1"/>
  <c r="Q68" i="7"/>
  <c r="P68" i="7"/>
  <c r="M44" i="7"/>
  <c r="K37" i="14" s="1"/>
  <c r="C83" i="14" s="1"/>
  <c r="Q67" i="7"/>
  <c r="P67" i="7"/>
  <c r="M43" i="7"/>
  <c r="K36" i="14" s="1"/>
  <c r="C82" i="14" s="1"/>
  <c r="P66" i="7"/>
  <c r="M42" i="7"/>
  <c r="K35" i="14" s="1"/>
  <c r="C81" i="14" s="1"/>
  <c r="P65" i="7"/>
  <c r="D41" i="7"/>
  <c r="M41" i="7" s="1"/>
  <c r="K34" i="14" s="1"/>
  <c r="C80" i="14" s="1"/>
  <c r="C41" i="7"/>
  <c r="P64" i="7"/>
  <c r="C40" i="7"/>
  <c r="Q65" i="7" s="1"/>
  <c r="P63" i="7"/>
  <c r="F39" i="7"/>
  <c r="D39" i="7"/>
  <c r="C39" i="7"/>
  <c r="Q64" i="7" s="1"/>
  <c r="P62" i="7"/>
  <c r="C38" i="7"/>
  <c r="Q63" i="7" s="1"/>
  <c r="P61" i="7"/>
  <c r="G37" i="7"/>
  <c r="G38" i="7" s="1"/>
  <c r="G39" i="7" s="1"/>
  <c r="G40" i="7" s="1"/>
  <c r="E37" i="7"/>
  <c r="C37" i="7"/>
  <c r="Q62" i="7" s="1"/>
  <c r="P60" i="7"/>
  <c r="H36" i="7"/>
  <c r="H37" i="7" s="1"/>
  <c r="H38" i="7" s="1"/>
  <c r="H39" i="7" s="1"/>
  <c r="H40" i="7" s="1"/>
  <c r="C36" i="7"/>
  <c r="Q61" i="7" s="1"/>
  <c r="P59" i="7"/>
  <c r="I35" i="7"/>
  <c r="I36" i="7" s="1"/>
  <c r="I37" i="7" s="1"/>
  <c r="I38" i="7" s="1"/>
  <c r="I39" i="7" s="1"/>
  <c r="I40" i="7" s="1"/>
  <c r="F35" i="7"/>
  <c r="F36" i="7" s="1"/>
  <c r="C35" i="7"/>
  <c r="Q60" i="7" s="1"/>
  <c r="P58" i="7"/>
  <c r="G34" i="7"/>
  <c r="G35" i="7" s="1"/>
  <c r="C34" i="7"/>
  <c r="Q59" i="7" s="1"/>
  <c r="P57" i="7"/>
  <c r="H33" i="7"/>
  <c r="H34" i="7" s="1"/>
  <c r="C33" i="7"/>
  <c r="Q58" i="7" s="1"/>
  <c r="P56" i="7"/>
  <c r="I32" i="7"/>
  <c r="I33" i="7" s="1"/>
  <c r="C32" i="7"/>
  <c r="Q57" i="7" s="1"/>
  <c r="P55" i="7"/>
  <c r="M31" i="7"/>
  <c r="K24" i="14" s="1"/>
  <c r="C70" i="14" s="1"/>
  <c r="C31" i="7"/>
  <c r="Q56" i="7" s="1"/>
  <c r="M30" i="7"/>
  <c r="K23" i="14" s="1"/>
  <c r="C69" i="14" s="1"/>
  <c r="C30" i="7"/>
  <c r="Q55" i="7" s="1"/>
  <c r="M29" i="7"/>
  <c r="C29" i="7"/>
  <c r="M28" i="7"/>
  <c r="K21" i="14" s="1"/>
  <c r="C67" i="14" s="1"/>
  <c r="C28" i="7"/>
  <c r="M27" i="7"/>
  <c r="K20" i="14" s="1"/>
  <c r="C66" i="14" s="1"/>
  <c r="C27" i="7"/>
  <c r="M26" i="7"/>
  <c r="K19" i="14" s="1"/>
  <c r="C65" i="14" s="1"/>
  <c r="C26" i="7"/>
  <c r="M25" i="7"/>
  <c r="K18" i="14" s="1"/>
  <c r="C64" i="14" s="1"/>
  <c r="C25" i="7"/>
  <c r="M24" i="7"/>
  <c r="K17" i="14" s="1"/>
  <c r="C63" i="14" s="1"/>
  <c r="C24" i="7"/>
  <c r="F18" i="7"/>
  <c r="E18" i="7"/>
  <c r="D18" i="7"/>
  <c r="C18" i="7"/>
  <c r="L11" i="7"/>
  <c r="K11" i="7"/>
  <c r="J11" i="7"/>
  <c r="I11" i="7"/>
  <c r="F11" i="7"/>
  <c r="E11" i="7"/>
  <c r="D11" i="7"/>
  <c r="C11" i="7"/>
  <c r="L9" i="7"/>
  <c r="K9" i="7"/>
  <c r="J9" i="7"/>
  <c r="I9" i="7"/>
  <c r="F9" i="7"/>
  <c r="E9" i="7"/>
  <c r="D9" i="7"/>
  <c r="C9" i="7"/>
  <c r="K22" i="14" l="1"/>
  <c r="C68" i="14" s="1"/>
  <c r="P47" i="7"/>
  <c r="Q66" i="7"/>
  <c r="P44" i="7"/>
  <c r="Q44" i="7" s="1"/>
  <c r="M34" i="7"/>
  <c r="K27" i="14" s="1"/>
  <c r="C73" i="14" s="1"/>
  <c r="M33" i="7"/>
  <c r="K26" i="14" s="1"/>
  <c r="C72" i="14" s="1"/>
  <c r="J47" i="7"/>
  <c r="L47" i="7"/>
  <c r="H47" i="7"/>
  <c r="D47" i="7"/>
  <c r="K47" i="7"/>
  <c r="G47" i="7"/>
  <c r="F47" i="7"/>
  <c r="E47" i="7"/>
  <c r="F37" i="7"/>
  <c r="M37" i="7" s="1"/>
  <c r="K30" i="14" s="1"/>
  <c r="C76" i="14" s="1"/>
  <c r="M36" i="7"/>
  <c r="K29" i="14" s="1"/>
  <c r="C75" i="14" s="1"/>
  <c r="M39" i="7"/>
  <c r="K32" i="14" s="1"/>
  <c r="C78" i="14" s="1"/>
  <c r="M32" i="7"/>
  <c r="K25" i="14" s="1"/>
  <c r="C71" i="14" s="1"/>
  <c r="M35" i="7"/>
  <c r="F40" i="7"/>
  <c r="M40" i="7" s="1"/>
  <c r="K33" i="14" s="1"/>
  <c r="C79" i="14" s="1"/>
  <c r="E38" i="7"/>
  <c r="M38" i="7" s="1"/>
  <c r="K31" i="14" s="1"/>
  <c r="C77" i="14" s="1"/>
  <c r="K28" i="14" l="1"/>
  <c r="C74" i="14" s="1"/>
  <c r="P45" i="7"/>
  <c r="P46" i="7"/>
  <c r="N24" i="7" l="1"/>
  <c r="U24" i="7" s="1"/>
  <c r="J63" i="14" s="1"/>
  <c r="N35" i="7"/>
  <c r="N41" i="7"/>
  <c r="N27" i="7"/>
  <c r="N37" i="7"/>
  <c r="N36" i="7"/>
  <c r="N34" i="7"/>
  <c r="N25" i="7"/>
  <c r="N26" i="7"/>
  <c r="N29" i="7"/>
  <c r="N28" i="7"/>
  <c r="N30" i="7"/>
  <c r="N33" i="7"/>
  <c r="N32" i="7"/>
  <c r="N40" i="7"/>
  <c r="N39" i="7"/>
  <c r="N31" i="7"/>
  <c r="N38" i="7"/>
  <c r="Q24" i="7" l="1"/>
  <c r="F63" i="14" s="1"/>
  <c r="S24" i="7"/>
  <c r="H63" i="14" s="1"/>
  <c r="T24" i="7"/>
  <c r="I63" i="14" s="1"/>
  <c r="O24" i="7"/>
  <c r="E63" i="14" s="1"/>
  <c r="R24" i="7"/>
  <c r="G63" i="14" s="1"/>
  <c r="D71" i="14"/>
  <c r="P32" i="7"/>
  <c r="D65" i="14"/>
  <c r="P26" i="7"/>
  <c r="D80" i="14"/>
  <c r="P41" i="7"/>
  <c r="D77" i="14"/>
  <c r="P38" i="7"/>
  <c r="D70" i="14"/>
  <c r="P31" i="7"/>
  <c r="D78" i="14"/>
  <c r="P39" i="7"/>
  <c r="D69" i="14"/>
  <c r="P30" i="7"/>
  <c r="D64" i="14"/>
  <c r="P25" i="7"/>
  <c r="D75" i="14"/>
  <c r="P36" i="7"/>
  <c r="D74" i="14"/>
  <c r="P35" i="7"/>
  <c r="D68" i="14"/>
  <c r="P29" i="7"/>
  <c r="D66" i="14"/>
  <c r="P27" i="7"/>
  <c r="D72" i="14"/>
  <c r="P33" i="7"/>
  <c r="D79" i="14"/>
  <c r="P40" i="7"/>
  <c r="D67" i="14"/>
  <c r="P28" i="7"/>
  <c r="D73" i="14"/>
  <c r="P34" i="7"/>
  <c r="D76" i="14"/>
  <c r="P37" i="7"/>
  <c r="D63" i="14"/>
  <c r="P24" i="7"/>
  <c r="O36" i="7"/>
  <c r="E75" i="14" s="1"/>
  <c r="R36" i="7"/>
  <c r="G75" i="14" s="1"/>
  <c r="T36" i="7"/>
  <c r="I75" i="14" s="1"/>
  <c r="Q36" i="7"/>
  <c r="F75" i="14" s="1"/>
  <c r="S36" i="7"/>
  <c r="H75" i="14" s="1"/>
  <c r="U36" i="7"/>
  <c r="J75" i="14" s="1"/>
  <c r="T26" i="7"/>
  <c r="I65" i="14" s="1"/>
  <c r="S26" i="7"/>
  <c r="H65" i="14" s="1"/>
  <c r="U26" i="7"/>
  <c r="J65" i="14" s="1"/>
  <c r="O26" i="7"/>
  <c r="E65" i="14" s="1"/>
  <c r="Q26" i="7"/>
  <c r="F65" i="14" s="1"/>
  <c r="R26" i="7"/>
  <c r="G65" i="14" s="1"/>
  <c r="O32" i="7"/>
  <c r="E71" i="14" s="1"/>
  <c r="Q32" i="7"/>
  <c r="F71" i="14" s="1"/>
  <c r="R32" i="7"/>
  <c r="G71" i="14" s="1"/>
  <c r="S32" i="7"/>
  <c r="H71" i="14" s="1"/>
  <c r="T32" i="7"/>
  <c r="I71" i="14" s="1"/>
  <c r="U32" i="7"/>
  <c r="J71" i="14" s="1"/>
  <c r="Q25" i="7"/>
  <c r="F64" i="14" s="1"/>
  <c r="R25" i="7"/>
  <c r="G64" i="14" s="1"/>
  <c r="T25" i="7"/>
  <c r="I64" i="14" s="1"/>
  <c r="S25" i="7"/>
  <c r="H64" i="14" s="1"/>
  <c r="U25" i="7"/>
  <c r="J64" i="14" s="1"/>
  <c r="O25" i="7"/>
  <c r="E64" i="14" s="1"/>
  <c r="O40" i="7"/>
  <c r="E79" i="14" s="1"/>
  <c r="T40" i="7"/>
  <c r="I79" i="14" s="1"/>
  <c r="Q40" i="7"/>
  <c r="F79" i="14" s="1"/>
  <c r="R40" i="7"/>
  <c r="G79" i="14" s="1"/>
  <c r="S40" i="7"/>
  <c r="H79" i="14" s="1"/>
  <c r="U40" i="7"/>
  <c r="J79" i="14" s="1"/>
  <c r="R33" i="7"/>
  <c r="G72" i="14" s="1"/>
  <c r="T33" i="7"/>
  <c r="I72" i="14" s="1"/>
  <c r="S33" i="7"/>
  <c r="H72" i="14" s="1"/>
  <c r="U33" i="7"/>
  <c r="J72" i="14" s="1"/>
  <c r="O33" i="7"/>
  <c r="E72" i="14" s="1"/>
  <c r="Q33" i="7"/>
  <c r="F72" i="14" s="1"/>
  <c r="T38" i="7"/>
  <c r="I77" i="14" s="1"/>
  <c r="U38" i="7"/>
  <c r="J77" i="14" s="1"/>
  <c r="O38" i="7"/>
  <c r="E77" i="14" s="1"/>
  <c r="S38" i="7"/>
  <c r="H77" i="14" s="1"/>
  <c r="Q38" i="7"/>
  <c r="F77" i="14" s="1"/>
  <c r="R38" i="7"/>
  <c r="G77" i="14" s="1"/>
  <c r="T34" i="7"/>
  <c r="I73" i="14" s="1"/>
  <c r="O34" i="7"/>
  <c r="E73" i="14" s="1"/>
  <c r="S34" i="7"/>
  <c r="H73" i="14" s="1"/>
  <c r="U34" i="7"/>
  <c r="J73" i="14" s="1"/>
  <c r="Q34" i="7"/>
  <c r="F73" i="14" s="1"/>
  <c r="R34" i="7"/>
  <c r="G73" i="14" s="1"/>
  <c r="O39" i="7"/>
  <c r="E78" i="14" s="1"/>
  <c r="U39" i="7"/>
  <c r="J78" i="14" s="1"/>
  <c r="Q39" i="7"/>
  <c r="F78" i="14" s="1"/>
  <c r="R39" i="7"/>
  <c r="G78" i="14" s="1"/>
  <c r="T39" i="7"/>
  <c r="I78" i="14" s="1"/>
  <c r="S39" i="7"/>
  <c r="H78" i="14" s="1"/>
  <c r="T30" i="7"/>
  <c r="I69" i="14" s="1"/>
  <c r="O30" i="7"/>
  <c r="E69" i="14" s="1"/>
  <c r="U30" i="7"/>
  <c r="J69" i="14" s="1"/>
  <c r="S30" i="7"/>
  <c r="H69" i="14" s="1"/>
  <c r="Q30" i="7"/>
  <c r="F69" i="14" s="1"/>
  <c r="R30" i="7"/>
  <c r="G69" i="14" s="1"/>
  <c r="R41" i="7"/>
  <c r="G80" i="14" s="1"/>
  <c r="T41" i="7"/>
  <c r="I80" i="14" s="1"/>
  <c r="U41" i="7"/>
  <c r="J80" i="14" s="1"/>
  <c r="O41" i="7"/>
  <c r="E80" i="14" s="1"/>
  <c r="S41" i="7"/>
  <c r="H80" i="14" s="1"/>
  <c r="Q41" i="7"/>
  <c r="F80" i="14" s="1"/>
  <c r="O28" i="7"/>
  <c r="E67" i="14" s="1"/>
  <c r="R28" i="7"/>
  <c r="G67" i="14" s="1"/>
  <c r="S28" i="7"/>
  <c r="H67" i="14" s="1"/>
  <c r="Q28" i="7"/>
  <c r="F67" i="14" s="1"/>
  <c r="T28" i="7"/>
  <c r="I67" i="14" s="1"/>
  <c r="U28" i="7"/>
  <c r="J67" i="14" s="1"/>
  <c r="R29" i="7"/>
  <c r="G68" i="14" s="1"/>
  <c r="S29" i="7"/>
  <c r="H68" i="14" s="1"/>
  <c r="T29" i="7"/>
  <c r="I68" i="14" s="1"/>
  <c r="U29" i="7"/>
  <c r="J68" i="14" s="1"/>
  <c r="Q29" i="7"/>
  <c r="F68" i="14" s="1"/>
  <c r="O29" i="7"/>
  <c r="E68" i="14" s="1"/>
  <c r="Q35" i="7"/>
  <c r="F74" i="14" s="1"/>
  <c r="O35" i="7"/>
  <c r="E74" i="14" s="1"/>
  <c r="R35" i="7"/>
  <c r="G74" i="14" s="1"/>
  <c r="U35" i="7"/>
  <c r="J74" i="14" s="1"/>
  <c r="S35" i="7"/>
  <c r="H74" i="14" s="1"/>
  <c r="T35" i="7"/>
  <c r="I74" i="14" s="1"/>
  <c r="O31" i="7"/>
  <c r="E70" i="14" s="1"/>
  <c r="Q31" i="7"/>
  <c r="F70" i="14" s="1"/>
  <c r="R31" i="7"/>
  <c r="G70" i="14" s="1"/>
  <c r="U31" i="7"/>
  <c r="J70" i="14" s="1"/>
  <c r="S31" i="7"/>
  <c r="H70" i="14" s="1"/>
  <c r="T31" i="7"/>
  <c r="I70" i="14" s="1"/>
  <c r="R37" i="7"/>
  <c r="G76" i="14" s="1"/>
  <c r="U37" i="7"/>
  <c r="J76" i="14" s="1"/>
  <c r="O37" i="7"/>
  <c r="E76" i="14" s="1"/>
  <c r="S37" i="7"/>
  <c r="H76" i="14" s="1"/>
  <c r="T37" i="7"/>
  <c r="I76" i="14" s="1"/>
  <c r="Q37" i="7"/>
  <c r="F76" i="14" s="1"/>
  <c r="R27" i="7"/>
  <c r="G66" i="14" s="1"/>
  <c r="O27" i="7"/>
  <c r="E66" i="14" s="1"/>
  <c r="Q27" i="7"/>
  <c r="F66" i="14" s="1"/>
  <c r="S27" i="7"/>
  <c r="H66" i="14" s="1"/>
  <c r="T27" i="7"/>
  <c r="I66" i="14" s="1"/>
  <c r="U27" i="7"/>
  <c r="J66" i="14" s="1"/>
  <c r="K18" i="7"/>
  <c r="L18" i="7"/>
  <c r="K16" i="7"/>
  <c r="J18" i="7"/>
  <c r="J16" i="7"/>
  <c r="I16" i="7"/>
  <c r="L1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Minner</author>
  </authors>
  <commentList>
    <comment ref="N2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David Minner:</t>
        </r>
        <r>
          <rPr>
            <sz val="9"/>
            <color indexed="81"/>
            <rFont val="Tahoma"/>
            <family val="2"/>
          </rPr>
          <t xml:space="preserve">
Values in this row are channel shear values output from the HEC-RAS Model for proposed conditions.</t>
        </r>
      </text>
    </comment>
    <comment ref="P2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David Minner:</t>
        </r>
        <r>
          <rPr>
            <sz val="9"/>
            <color indexed="81"/>
            <rFont val="Tahoma"/>
            <family val="2"/>
          </rPr>
          <t xml:space="preserve">
This scenario reflects the 2-year event with a blocked obstruction modeled in a typical cross section to represent the installation of LWM or boulder clusters.  Shear is increasesed from 1.2 to 1.6 and as a result more mobility is predicted.</t>
        </r>
      </text>
    </comment>
    <comment ref="P44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David Minner:</t>
        </r>
        <r>
          <rPr>
            <sz val="9"/>
            <color indexed="81"/>
            <rFont val="Tahoma"/>
            <family val="2"/>
          </rPr>
          <t xml:space="preserve">
Formula to interpolate the D50 value.  Forumla needs updated each time the proposed gradation is altered.</t>
        </r>
      </text>
    </comment>
    <comment ref="P45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David Minner:</t>
        </r>
        <r>
          <rPr>
            <sz val="9"/>
            <color indexed="81"/>
            <rFont val="Tahoma"/>
            <family val="2"/>
          </rPr>
          <t xml:space="preserve">
Formula to interpolate the D50 value.  Forumla needs updated each time the proposed gradation is altered.</t>
        </r>
      </text>
    </comment>
    <comment ref="M47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David Minner:</t>
        </r>
        <r>
          <rPr>
            <sz val="9"/>
            <color indexed="81"/>
            <rFont val="Tahoma"/>
            <family val="2"/>
          </rPr>
          <t xml:space="preserve">
Does not add to 100% when using streambed boulders in the proposed gradation</t>
        </r>
      </text>
    </comment>
    <comment ref="P47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David Minner:</t>
        </r>
        <r>
          <rPr>
            <sz val="9"/>
            <color indexed="81"/>
            <rFont val="Tahoma"/>
            <family val="2"/>
          </rPr>
          <t xml:space="preserve">
Formula to interpolate the D50 value.  Forumla needs updated each time the proposed gradation is altered.</t>
        </r>
      </text>
    </comment>
    <comment ref="Q53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David Minner:</t>
        </r>
        <r>
          <rPr>
            <sz val="9"/>
            <color indexed="81"/>
            <rFont val="Tahoma"/>
            <family val="2"/>
          </rPr>
          <t xml:space="preserve">
Update this dimension based on the D100 from the proposed gradation.</t>
        </r>
      </text>
    </comment>
  </commentList>
</comments>
</file>

<file path=xl/sharedStrings.xml><?xml version="1.0" encoding="utf-8"?>
<sst xmlns="http://schemas.openxmlformats.org/spreadsheetml/2006/main" count="165" uniqueCount="94">
  <si>
    <t>ft</t>
  </si>
  <si>
    <t>Streambed Cobbles</t>
  </si>
  <si>
    <t>Streambed</t>
  </si>
  <si>
    <t>6"</t>
  </si>
  <si>
    <t>8"</t>
  </si>
  <si>
    <t>10"</t>
  </si>
  <si>
    <t>12"</t>
  </si>
  <si>
    <t>4"</t>
  </si>
  <si>
    <r>
      <t>D</t>
    </r>
    <r>
      <rPr>
        <b/>
        <vertAlign val="subscript"/>
        <sz val="11"/>
        <rFont val="Arial"/>
        <family val="2"/>
      </rPr>
      <t>size</t>
    </r>
  </si>
  <si>
    <t>Determining Aggregate Proportions</t>
  </si>
  <si>
    <t>Per WSDOT Standard Specifications 9-03.11</t>
  </si>
  <si>
    <t>% per category</t>
  </si>
  <si>
    <t>Sediment</t>
  </si>
  <si>
    <t>Design Gradation:</t>
  </si>
  <si>
    <r>
      <t>No.</t>
    </r>
    <r>
      <rPr>
        <b/>
        <sz val="10"/>
        <rFont val="Arial"/>
        <family val="2"/>
      </rPr>
      <t xml:space="preserve"> 200  =</t>
    </r>
  </si>
  <si>
    <t xml:space="preserve">Rock Size </t>
  </si>
  <si>
    <t>[in]</t>
  </si>
  <si>
    <t>[mm]</t>
  </si>
  <si>
    <r>
      <t>No.</t>
    </r>
    <r>
      <rPr>
        <b/>
        <sz val="10"/>
        <rFont val="Arial"/>
        <family val="2"/>
      </rPr>
      <t xml:space="preserve"> 4  =</t>
    </r>
  </si>
  <si>
    <r>
      <t>No.</t>
    </r>
    <r>
      <rPr>
        <b/>
        <sz val="10"/>
        <rFont val="Arial"/>
        <family val="2"/>
      </rPr>
      <t xml:space="preserve"> 40 =</t>
    </r>
  </si>
  <si>
    <r>
      <t>D</t>
    </r>
    <r>
      <rPr>
        <b/>
        <vertAlign val="subscript"/>
        <sz val="12"/>
        <rFont val="Arial"/>
        <family val="2"/>
      </rPr>
      <t>100</t>
    </r>
  </si>
  <si>
    <r>
      <t>D</t>
    </r>
    <r>
      <rPr>
        <b/>
        <vertAlign val="subscript"/>
        <sz val="12"/>
        <rFont val="Arial"/>
        <family val="2"/>
      </rPr>
      <t>84</t>
    </r>
  </si>
  <si>
    <r>
      <t>D</t>
    </r>
    <r>
      <rPr>
        <b/>
        <vertAlign val="subscript"/>
        <sz val="12"/>
        <rFont val="Arial"/>
        <family val="2"/>
      </rPr>
      <t>50</t>
    </r>
  </si>
  <si>
    <r>
      <t>D</t>
    </r>
    <r>
      <rPr>
        <b/>
        <vertAlign val="subscript"/>
        <sz val="12"/>
        <rFont val="Arial"/>
        <family val="2"/>
      </rPr>
      <t>16</t>
    </r>
  </si>
  <si>
    <t>in</t>
  </si>
  <si>
    <t>mm</t>
  </si>
  <si>
    <t>Streambed Boulders</t>
  </si>
  <si>
    <t>12"-18"</t>
  </si>
  <si>
    <t>18"-28"</t>
  </si>
  <si>
    <t>28"-36"</t>
  </si>
  <si>
    <t>% Cobble &amp; Sediment</t>
  </si>
  <si>
    <t>Summary - Stream Simulation Bed Material Design</t>
  </si>
  <si>
    <t>Location:</t>
  </si>
  <si>
    <t>Project:</t>
  </si>
  <si>
    <t>By:</t>
  </si>
  <si>
    <t>Dmax =</t>
  </si>
  <si>
    <t>D[in]</t>
  </si>
  <si>
    <t>Fuller-Thompson Gradation</t>
  </si>
  <si>
    <t>D50</t>
  </si>
  <si>
    <r>
      <t>γ</t>
    </r>
    <r>
      <rPr>
        <vertAlign val="subscript"/>
        <sz val="11"/>
        <color theme="1"/>
        <rFont val="Calibri"/>
        <family val="2"/>
      </rPr>
      <t>s</t>
    </r>
  </si>
  <si>
    <r>
      <t>specific weight of sediment particle (lb/ft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0"/>
        <rFont val="Arial"/>
        <family val="2"/>
      </rPr>
      <t>)</t>
    </r>
  </si>
  <si>
    <t>γ</t>
  </si>
  <si>
    <r>
      <t>specific weight of water (1b/ft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0"/>
        <rFont val="Arial"/>
        <family val="2"/>
      </rPr>
      <t>)</t>
    </r>
  </si>
  <si>
    <r>
      <t>τ</t>
    </r>
    <r>
      <rPr>
        <vertAlign val="subscript"/>
        <sz val="11"/>
        <color theme="1"/>
        <rFont val="Calibri"/>
        <family val="2"/>
      </rPr>
      <t>D50</t>
    </r>
  </si>
  <si>
    <t>dimensionless Shields parameter for D50, use table E.1 of USFS manual or assume 0.045 for poorly sorted channel bed</t>
  </si>
  <si>
    <r>
      <t>τ</t>
    </r>
    <r>
      <rPr>
        <vertAlign val="subscript"/>
        <sz val="18"/>
        <color theme="1"/>
        <rFont val="Calibri"/>
        <family val="2"/>
      </rPr>
      <t>ci</t>
    </r>
  </si>
  <si>
    <t>2-YR (109 cfs)</t>
  </si>
  <si>
    <t>10-YR (192 cfs)</t>
  </si>
  <si>
    <t>25-YR (235 cfs)</t>
  </si>
  <si>
    <t>50-YR (274  cfs)</t>
  </si>
  <si>
    <t>100-YR (306 cfs)</t>
  </si>
  <si>
    <t>500-YR (397 cfs)</t>
  </si>
  <si>
    <t>inches</t>
  </si>
  <si>
    <t xml:space="preserve">Flow </t>
  </si>
  <si>
    <r>
      <t>Average Modeled Shear Stress (lb/ft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</si>
  <si>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Upstream Gravel Bar</t>
  </si>
  <si>
    <t>Upstream Riffle</t>
  </si>
  <si>
    <t>Downstream Gravel Bar</t>
  </si>
  <si>
    <t>Downstream Riffle</t>
  </si>
  <si>
    <t>Structure</t>
  </si>
  <si>
    <t>Modified Shear Stress Equation:</t>
  </si>
  <si>
    <t>http://www.fs.fed.us/eng/pubs/pdf/StreamSimulation/lo_res/AppendixE.pdf</t>
  </si>
  <si>
    <t>Streambed Mobility/Stability Analysis</t>
  </si>
  <si>
    <t>References:</t>
  </si>
  <si>
    <t>Stream Simulation: An Ecological Approach to Providing Passage for Aquatic Organizms at Road-Stream Crossings</t>
  </si>
  <si>
    <t>Appendix E--Methods for Streambed Mobility/Stability Analysis</t>
  </si>
  <si>
    <t>Limitations:</t>
  </si>
  <si>
    <r>
      <t>D</t>
    </r>
    <r>
      <rPr>
        <vertAlign val="subscript"/>
        <sz val="11"/>
        <color theme="1"/>
        <rFont val="Calibri"/>
        <family val="2"/>
        <scheme val="minor"/>
      </rPr>
      <t xml:space="preserve">84 </t>
    </r>
    <r>
      <rPr>
        <sz val="11"/>
        <color theme="1"/>
        <rFont val="Calibri"/>
        <family val="2"/>
        <scheme val="minor"/>
      </rPr>
      <t>must be between 0.40 in and 10 in</t>
    </r>
  </si>
  <si>
    <t>uniform bed material (Di &lt; 20-30 times D50)</t>
  </si>
  <si>
    <t>Slopes less than 5%</t>
  </si>
  <si>
    <t>Sand/gravel streams with high relative submergence</t>
  </si>
  <si>
    <t>Modified Shields Approach</t>
  </si>
  <si>
    <t>D16</t>
  </si>
  <si>
    <t>BED MATERIAL SIZING CALCULATIONS</t>
  </si>
  <si>
    <t>SR Route:</t>
  </si>
  <si>
    <t>Mile Post:</t>
  </si>
  <si>
    <t>Stream Crossing:</t>
  </si>
  <si>
    <t>Flow Event:</t>
  </si>
  <si>
    <t>Designer:</t>
  </si>
  <si>
    <t>Date:</t>
  </si>
  <si>
    <t xml:space="preserve">Checked By: </t>
  </si>
  <si>
    <t>MODIFIED CRITICAL SHEAR STRESS APPROACH</t>
  </si>
  <si>
    <t>(Source: USDA Forest Service. 2008.  Stream Simulation: An Ecological Approach to Providing Passage</t>
  </si>
  <si>
    <t xml:space="preserve"> for Aquatic Organisms at Road-Stream Crossings, Appendix E.)</t>
  </si>
  <si>
    <t>Step 1:  Specify percentage of materials to create a propsoed gradation</t>
  </si>
  <si>
    <t>Simulated Channel Shear for Proposed Conditions</t>
  </si>
  <si>
    <t>Step 2:  Calculate critical shear for particle size.  Determine particle stability/mobility by comparing critical shear to simulated channel shear values for specific flow events for each Dsize.</t>
  </si>
  <si>
    <t>2-YR 
(109 cfs)</t>
  </si>
  <si>
    <t>10-YR 
(192 cfs)</t>
  </si>
  <si>
    <t>25-YR 
(235 cfs)</t>
  </si>
  <si>
    <t>50-YR 
(274  cfs)</t>
  </si>
  <si>
    <t>100-YR 
(306 cfs)</t>
  </si>
  <si>
    <t>500-YR 
(397 cfs)</t>
  </si>
  <si>
    <t>D84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</si>
</sst>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.0%"/>
    <numFmt numFmtId="166" formatCode="0.0000"/>
    <numFmt numFmtId="167" formatCode="0.000"/>
    <numFmt numFmtId="168" formatCode="\-\-\&gt;\ 0%"/>
    <numFmt numFmtId="169" formatCode="General_)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indexed="21"/>
      <name val="Arial"/>
      <family val="2"/>
    </font>
    <font>
      <b/>
      <sz val="10"/>
      <name val="Arial"/>
      <family val="2"/>
    </font>
    <font>
      <b/>
      <sz val="10"/>
      <color indexed="6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vertAlign val="subscript"/>
      <sz val="11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i/>
      <sz val="8"/>
      <name val="Tahoma"/>
      <family val="2"/>
    </font>
    <font>
      <b/>
      <sz val="12"/>
      <name val="Arial"/>
      <family val="2"/>
    </font>
    <font>
      <b/>
      <i/>
      <sz val="12"/>
      <color indexed="8"/>
      <name val="Arial"/>
      <family val="2"/>
    </font>
    <font>
      <b/>
      <vertAlign val="subscript"/>
      <sz val="12"/>
      <name val="Arial"/>
      <family val="2"/>
    </font>
    <font>
      <b/>
      <sz val="10"/>
      <color indexed="8"/>
      <name val="Arial"/>
      <family val="2"/>
    </font>
    <font>
      <b/>
      <i/>
      <sz val="12"/>
      <color indexed="10"/>
      <name val="Arial"/>
      <family val="2"/>
    </font>
    <font>
      <i/>
      <sz val="10"/>
      <color indexed="10"/>
      <name val="Arial"/>
      <family val="2"/>
    </font>
    <font>
      <sz val="10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0"/>
      <color rgb="FFC00000"/>
      <name val="Arial"/>
      <family val="2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sz val="18"/>
      <color theme="1"/>
      <name val="Calibri"/>
      <family val="2"/>
    </font>
    <font>
      <vertAlign val="subscript"/>
      <sz val="18"/>
      <color theme="1"/>
      <name val="Calibri"/>
      <family val="2"/>
    </font>
    <font>
      <vertAlign val="superscript"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4" fillId="0" borderId="0"/>
    <xf numFmtId="0" fontId="5" fillId="0" borderId="0"/>
    <xf numFmtId="0" fontId="4" fillId="0" borderId="0"/>
    <xf numFmtId="0" fontId="3" fillId="0" borderId="0"/>
    <xf numFmtId="9" fontId="24" fillId="0" borderId="0" applyFont="0" applyFill="0" applyBorder="0" applyAlignment="0" applyProtection="0"/>
    <xf numFmtId="0" fontId="36" fillId="8" borderId="0" applyBorder="0" applyAlignment="0" applyProtection="0"/>
    <xf numFmtId="0" fontId="2" fillId="0" borderId="0"/>
  </cellStyleXfs>
  <cellXfs count="156">
    <xf numFmtId="0" fontId="0" fillId="0" borderId="0" xfId="0"/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1" fontId="7" fillId="2" borderId="2" xfId="0" applyNumberFormat="1" applyFon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" fontId="8" fillId="2" borderId="2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" fontId="8" fillId="2" borderId="3" xfId="0" applyNumberFormat="1" applyFon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2" fontId="7" fillId="4" borderId="9" xfId="0" applyNumberFormat="1" applyFont="1" applyFill="1" applyBorder="1" applyAlignment="1">
      <alignment horizontal="center" vertical="center"/>
    </xf>
    <xf numFmtId="164" fontId="7" fillId="4" borderId="10" xfId="0" applyNumberFormat="1" applyFont="1" applyFill="1" applyBorder="1" applyAlignment="1">
      <alignment horizontal="center" vertical="center"/>
    </xf>
    <xf numFmtId="2" fontId="7" fillId="4" borderId="10" xfId="0" applyNumberFormat="1" applyFont="1" applyFill="1" applyBorder="1" applyAlignment="1">
      <alignment horizontal="center" vertical="center"/>
    </xf>
    <xf numFmtId="1" fontId="10" fillId="4" borderId="10" xfId="0" applyNumberFormat="1" applyFont="1" applyFill="1" applyBorder="1" applyAlignment="1">
      <alignment horizontal="right" vertical="center"/>
    </xf>
    <xf numFmtId="1" fontId="10" fillId="4" borderId="11" xfId="0" applyNumberFormat="1" applyFont="1" applyFill="1" applyBorder="1" applyAlignment="1">
      <alignment horizontal="right" vertical="center"/>
    </xf>
    <xf numFmtId="0" fontId="7" fillId="3" borderId="11" xfId="0" applyFont="1" applyFill="1" applyBorder="1" applyAlignment="1">
      <alignment horizontal="center" wrapText="1"/>
    </xf>
    <xf numFmtId="0" fontId="7" fillId="3" borderId="12" xfId="0" applyFont="1" applyFill="1" applyBorder="1" applyAlignment="1">
      <alignment horizontal="center" wrapText="1"/>
    </xf>
    <xf numFmtId="164" fontId="0" fillId="0" borderId="0" xfId="0" applyNumberFormat="1"/>
    <xf numFmtId="164" fontId="7" fillId="4" borderId="9" xfId="0" applyNumberFormat="1" applyFont="1" applyFill="1" applyBorder="1" applyAlignment="1">
      <alignment horizontal="center" vertical="center"/>
    </xf>
    <xf numFmtId="167" fontId="7" fillId="4" borderId="9" xfId="0" applyNumberFormat="1" applyFont="1" applyFill="1" applyBorder="1" applyAlignment="1">
      <alignment horizontal="center" vertical="center"/>
    </xf>
    <xf numFmtId="1" fontId="7" fillId="4" borderId="9" xfId="0" applyNumberFormat="1" applyFont="1" applyFill="1" applyBorder="1" applyAlignment="1">
      <alignment horizontal="center" vertical="center"/>
    </xf>
    <xf numFmtId="166" fontId="7" fillId="4" borderId="9" xfId="0" applyNumberFormat="1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/>
    </xf>
    <xf numFmtId="0" fontId="16" fillId="4" borderId="14" xfId="0" applyFont="1" applyFill="1" applyBorder="1" applyAlignment="1">
      <alignment horizontal="center"/>
    </xf>
    <xf numFmtId="0" fontId="0" fillId="3" borderId="15" xfId="0" applyFill="1" applyBorder="1"/>
    <xf numFmtId="0" fontId="0" fillId="3" borderId="16" xfId="0" applyFill="1" applyBorder="1"/>
    <xf numFmtId="0" fontId="16" fillId="4" borderId="9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0" fillId="3" borderId="18" xfId="0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0" fillId="3" borderId="21" xfId="0" applyFill="1" applyBorder="1"/>
    <xf numFmtId="0" fontId="0" fillId="3" borderId="22" xfId="0" applyFill="1" applyBorder="1"/>
    <xf numFmtId="2" fontId="19" fillId="6" borderId="23" xfId="0" applyNumberFormat="1" applyFont="1" applyFill="1" applyBorder="1" applyAlignment="1">
      <alignment horizontal="center" vertical="center"/>
    </xf>
    <xf numFmtId="2" fontId="19" fillId="6" borderId="24" xfId="0" applyNumberFormat="1" applyFont="1" applyFill="1" applyBorder="1" applyAlignment="1">
      <alignment horizontal="center" vertical="center"/>
    </xf>
    <xf numFmtId="2" fontId="19" fillId="6" borderId="20" xfId="0" applyNumberFormat="1" applyFont="1" applyFill="1" applyBorder="1" applyAlignment="1">
      <alignment horizontal="center" vertical="center"/>
    </xf>
    <xf numFmtId="1" fontId="19" fillId="2" borderId="25" xfId="0" applyNumberFormat="1" applyFont="1" applyFill="1" applyBorder="1" applyAlignment="1">
      <alignment horizontal="center" vertical="center"/>
    </xf>
    <xf numFmtId="2" fontId="19" fillId="0" borderId="26" xfId="0" applyNumberFormat="1" applyFont="1" applyBorder="1" applyAlignment="1" applyProtection="1">
      <alignment horizontal="center" vertical="center"/>
      <protection locked="0"/>
    </xf>
    <xf numFmtId="164" fontId="19" fillId="2" borderId="25" xfId="0" applyNumberFormat="1" applyFont="1" applyFill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19" fillId="3" borderId="22" xfId="0" applyFont="1" applyFill="1" applyBorder="1" applyAlignment="1">
      <alignment horizontal="center"/>
    </xf>
    <xf numFmtId="0" fontId="17" fillId="3" borderId="27" xfId="0" applyFont="1" applyFill="1" applyBorder="1" applyAlignment="1">
      <alignment horizontal="center"/>
    </xf>
    <xf numFmtId="0" fontId="17" fillId="3" borderId="28" xfId="0" applyFont="1" applyFill="1" applyBorder="1" applyAlignment="1">
      <alignment horizontal="center"/>
    </xf>
    <xf numFmtId="0" fontId="22" fillId="3" borderId="27" xfId="0" applyFont="1" applyFill="1" applyBorder="1" applyAlignment="1">
      <alignment horizontal="left"/>
    </xf>
    <xf numFmtId="0" fontId="7" fillId="0" borderId="29" xfId="0" applyFont="1" applyBorder="1"/>
    <xf numFmtId="0" fontId="7" fillId="0" borderId="30" xfId="0" applyFont="1" applyBorder="1"/>
    <xf numFmtId="164" fontId="8" fillId="0" borderId="31" xfId="0" applyNumberFormat="1" applyFont="1" applyBorder="1" applyAlignment="1" applyProtection="1">
      <alignment horizontal="center" vertical="center"/>
      <protection locked="0"/>
    </xf>
    <xf numFmtId="164" fontId="0" fillId="0" borderId="32" xfId="0" applyNumberFormat="1" applyBorder="1" applyAlignment="1" applyProtection="1">
      <alignment horizontal="center" vertical="center"/>
      <protection locked="0"/>
    </xf>
    <xf numFmtId="0" fontId="24" fillId="0" borderId="0" xfId="1"/>
    <xf numFmtId="0" fontId="7" fillId="0" borderId="0" xfId="1" applyFont="1" applyAlignment="1">
      <alignment horizontal="right"/>
    </xf>
    <xf numFmtId="167" fontId="7" fillId="0" borderId="0" xfId="1" applyNumberFormat="1" applyFont="1" applyAlignment="1">
      <alignment horizontal="center" vertical="center"/>
    </xf>
    <xf numFmtId="2" fontId="24" fillId="0" borderId="0" xfId="1" applyNumberFormat="1" applyAlignment="1">
      <alignment horizontal="center"/>
    </xf>
    <xf numFmtId="0" fontId="25" fillId="0" borderId="0" xfId="0" applyFont="1" applyAlignment="1">
      <alignment horizontal="center"/>
    </xf>
    <xf numFmtId="2" fontId="19" fillId="0" borderId="41" xfId="0" applyNumberFormat="1" applyFont="1" applyBorder="1" applyAlignment="1" applyProtection="1">
      <alignment horizontal="center" vertical="center"/>
      <protection locked="0"/>
    </xf>
    <xf numFmtId="164" fontId="19" fillId="2" borderId="30" xfId="0" applyNumberFormat="1" applyFont="1" applyFill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0" fillId="3" borderId="17" xfId="0" applyFill="1" applyBorder="1" applyAlignment="1">
      <alignment horizontal="center" vertical="center"/>
    </xf>
    <xf numFmtId="0" fontId="24" fillId="0" borderId="0" xfId="0" applyFont="1"/>
    <xf numFmtId="0" fontId="7" fillId="7" borderId="0" xfId="1" applyFont="1" applyFill="1" applyAlignment="1">
      <alignment horizontal="center"/>
    </xf>
    <xf numFmtId="164" fontId="19" fillId="6" borderId="23" xfId="0" applyNumberFormat="1" applyFont="1" applyFill="1" applyBorder="1" applyAlignment="1">
      <alignment horizontal="center" vertical="center"/>
    </xf>
    <xf numFmtId="0" fontId="0" fillId="0" borderId="29" xfId="0" applyBorder="1"/>
    <xf numFmtId="0" fontId="0" fillId="0" borderId="42" xfId="0" applyBorder="1"/>
    <xf numFmtId="0" fontId="0" fillId="0" borderId="30" xfId="0" applyBorder="1"/>
    <xf numFmtId="164" fontId="0" fillId="7" borderId="27" xfId="0" applyNumberFormat="1" applyFill="1" applyBorder="1" applyAlignment="1">
      <alignment horizontal="center"/>
    </xf>
    <xf numFmtId="164" fontId="0" fillId="7" borderId="44" xfId="0" applyNumberFormat="1" applyFill="1" applyBorder="1" applyAlignment="1">
      <alignment horizontal="center"/>
    </xf>
    <xf numFmtId="0" fontId="24" fillId="0" borderId="42" xfId="0" applyFont="1" applyBorder="1" applyAlignment="1">
      <alignment horizontal="center"/>
    </xf>
    <xf numFmtId="164" fontId="7" fillId="5" borderId="46" xfId="0" applyNumberFormat="1" applyFont="1" applyFill="1" applyBorder="1" applyAlignment="1">
      <alignment horizontal="center" vertical="center"/>
    </xf>
    <xf numFmtId="164" fontId="7" fillId="5" borderId="43" xfId="0" applyNumberFormat="1" applyFont="1" applyFill="1" applyBorder="1" applyAlignment="1">
      <alignment horizontal="center" vertical="center"/>
    </xf>
    <xf numFmtId="0" fontId="3" fillId="0" borderId="10" xfId="4" applyBorder="1"/>
    <xf numFmtId="0" fontId="0" fillId="0" borderId="50" xfId="0" applyBorder="1"/>
    <xf numFmtId="0" fontId="34" fillId="0" borderId="10" xfId="4" applyFont="1" applyBorder="1"/>
    <xf numFmtId="0" fontId="26" fillId="0" borderId="10" xfId="0" applyFont="1" applyBorder="1" applyAlignment="1">
      <alignment horizontal="right"/>
    </xf>
    <xf numFmtId="0" fontId="0" fillId="7" borderId="0" xfId="0" applyFill="1"/>
    <xf numFmtId="0" fontId="0" fillId="0" borderId="10" xfId="0" applyBorder="1"/>
    <xf numFmtId="0" fontId="24" fillId="7" borderId="22" xfId="0" applyFont="1" applyFill="1" applyBorder="1"/>
    <xf numFmtId="164" fontId="0" fillId="7" borderId="28" xfId="0" applyNumberFormat="1" applyFill="1" applyBorder="1" applyAlignment="1">
      <alignment horizontal="center"/>
    </xf>
    <xf numFmtId="0" fontId="29" fillId="0" borderId="10" xfId="0" applyFon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10" xfId="0" applyNumberFormat="1" applyBorder="1"/>
    <xf numFmtId="0" fontId="24" fillId="0" borderId="0" xfId="0" applyFont="1" applyAlignment="1">
      <alignment horizontal="left"/>
    </xf>
    <xf numFmtId="0" fontId="0" fillId="0" borderId="0" xfId="0" applyAlignment="1">
      <alignment horizontal="center"/>
    </xf>
    <xf numFmtId="164" fontId="0" fillId="7" borderId="0" xfId="0" applyNumberFormat="1" applyFill="1"/>
    <xf numFmtId="0" fontId="0" fillId="0" borderId="15" xfId="0" applyBorder="1"/>
    <xf numFmtId="0" fontId="0" fillId="0" borderId="45" xfId="0" applyBorder="1"/>
    <xf numFmtId="0" fontId="0" fillId="0" borderId="51" xfId="0" applyBorder="1"/>
    <xf numFmtId="0" fontId="24" fillId="0" borderId="0" xfId="0" applyFont="1" applyAlignment="1">
      <alignment horizontal="center"/>
    </xf>
    <xf numFmtId="0" fontId="2" fillId="0" borderId="0" xfId="7"/>
    <xf numFmtId="0" fontId="38" fillId="0" borderId="0" xfId="7" applyFont="1" applyAlignment="1">
      <alignment vertical="center" wrapText="1"/>
    </xf>
    <xf numFmtId="0" fontId="37" fillId="0" borderId="0" xfId="7" applyFont="1"/>
    <xf numFmtId="0" fontId="2" fillId="0" borderId="52" xfId="7" applyBorder="1"/>
    <xf numFmtId="0" fontId="2" fillId="0" borderId="52" xfId="7" applyBorder="1" applyAlignment="1">
      <alignment horizontal="left"/>
    </xf>
    <xf numFmtId="0" fontId="37" fillId="0" borderId="52" xfId="7" applyFont="1" applyBorder="1"/>
    <xf numFmtId="0" fontId="2" fillId="0" borderId="27" xfId="7" applyBorder="1"/>
    <xf numFmtId="0" fontId="37" fillId="0" borderId="0" xfId="7" applyFont="1" applyAlignment="1">
      <alignment horizontal="center"/>
    </xf>
    <xf numFmtId="14" fontId="2" fillId="0" borderId="27" xfId="7" applyNumberFormat="1" applyBorder="1"/>
    <xf numFmtId="14" fontId="2" fillId="0" borderId="0" xfId="7" applyNumberFormat="1"/>
    <xf numFmtId="169" fontId="19" fillId="0" borderId="0" xfId="1" applyNumberFormat="1" applyFont="1" applyAlignment="1">
      <alignment horizontal="left"/>
    </xf>
    <xf numFmtId="0" fontId="24" fillId="0" borderId="0" xfId="1" quotePrefix="1"/>
    <xf numFmtId="169" fontId="19" fillId="0" borderId="0" xfId="1" applyNumberFormat="1" applyFont="1" applyAlignment="1">
      <alignment horizontal="center"/>
    </xf>
    <xf numFmtId="0" fontId="7" fillId="0" borderId="0" xfId="1" applyFont="1"/>
    <xf numFmtId="0" fontId="2" fillId="0" borderId="0" xfId="7" applyAlignment="1">
      <alignment horizontal="left" vertical="top" wrapText="1"/>
    </xf>
    <xf numFmtId="164" fontId="0" fillId="7" borderId="53" xfId="0" applyNumberFormat="1" applyFill="1" applyBorder="1" applyAlignment="1">
      <alignment horizontal="center"/>
    </xf>
    <xf numFmtId="164" fontId="0" fillId="7" borderId="54" xfId="0" applyNumberFormat="1" applyFill="1" applyBorder="1" applyAlignment="1">
      <alignment horizontal="center"/>
    </xf>
    <xf numFmtId="164" fontId="0" fillId="7" borderId="55" xfId="0" applyNumberFormat="1" applyFill="1" applyBorder="1" applyAlignment="1">
      <alignment horizontal="center"/>
    </xf>
    <xf numFmtId="0" fontId="39" fillId="0" borderId="10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9" fillId="0" borderId="5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/>
    <xf numFmtId="0" fontId="14" fillId="0" borderId="0" xfId="0" applyFont="1" applyAlignment="1">
      <alignment horizontal="center" vertical="center"/>
    </xf>
    <xf numFmtId="0" fontId="7" fillId="3" borderId="39" xfId="0" applyFont="1" applyFill="1" applyBorder="1" applyAlignment="1">
      <alignment horizontal="center" vertical="center" wrapText="1"/>
    </xf>
    <xf numFmtId="0" fontId="7" fillId="0" borderId="40" xfId="0" applyFont="1" applyBorder="1" applyAlignment="1">
      <alignment wrapText="1"/>
    </xf>
    <xf numFmtId="0" fontId="7" fillId="3" borderId="18" xfId="0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2" fillId="0" borderId="0" xfId="7" applyAlignment="1">
      <alignment horizontal="center"/>
    </xf>
    <xf numFmtId="0" fontId="37" fillId="0" borderId="0" xfId="7" applyFont="1" applyAlignment="1">
      <alignment horizontal="center" wrapText="1"/>
    </xf>
    <xf numFmtId="0" fontId="11" fillId="3" borderId="5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0" fillId="0" borderId="3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35" xfId="0" applyBorder="1" applyAlignment="1">
      <alignment wrapText="1"/>
    </xf>
    <xf numFmtId="1" fontId="8" fillId="6" borderId="31" xfId="0" applyNumberFormat="1" applyFont="1" applyFill="1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168" fontId="15" fillId="6" borderId="5" xfId="0" applyNumberFormat="1" applyFon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37" fillId="0" borderId="0" xfId="7" applyFont="1" applyAlignment="1">
      <alignment horizontal="left" vertical="top" wrapText="1"/>
    </xf>
    <xf numFmtId="0" fontId="2" fillId="0" borderId="0" xfId="7" applyAlignment="1">
      <alignment horizontal="left" vertical="top" wrapText="1"/>
    </xf>
    <xf numFmtId="0" fontId="2" fillId="0" borderId="39" xfId="7" applyBorder="1" applyAlignment="1">
      <alignment horizontal="center"/>
    </xf>
    <xf numFmtId="0" fontId="2" fillId="0" borderId="48" xfId="7" applyBorder="1" applyAlignment="1">
      <alignment horizontal="center"/>
    </xf>
    <xf numFmtId="0" fontId="2" fillId="0" borderId="49" xfId="7" applyBorder="1" applyAlignment="1">
      <alignment horizontal="center"/>
    </xf>
    <xf numFmtId="0" fontId="29" fillId="0" borderId="0" xfId="0" applyFont="1" applyAlignment="1">
      <alignment horizontal="center" vertical="center"/>
    </xf>
    <xf numFmtId="0" fontId="7" fillId="0" borderId="0" xfId="1" applyFont="1" applyAlignment="1">
      <alignment horizontal="center"/>
    </xf>
    <xf numFmtId="0" fontId="5" fillId="0" borderId="0" xfId="2" applyAlignment="1">
      <alignment horizontal="center"/>
    </xf>
    <xf numFmtId="0" fontId="23" fillId="0" borderId="0" xfId="0" applyFont="1" applyAlignment="1">
      <alignment horizontal="left"/>
    </xf>
    <xf numFmtId="0" fontId="7" fillId="0" borderId="0" xfId="0" applyFont="1"/>
    <xf numFmtId="2" fontId="19" fillId="6" borderId="29" xfId="0" applyNumberFormat="1" applyFont="1" applyFill="1" applyBorder="1" applyAlignment="1">
      <alignment horizontal="left" vertical="center"/>
    </xf>
    <xf numFmtId="0" fontId="0" fillId="0" borderId="29" xfId="0" applyBorder="1" applyAlignment="1">
      <alignment horizontal="left"/>
    </xf>
    <xf numFmtId="2" fontId="19" fillId="6" borderId="30" xfId="0" applyNumberFormat="1" applyFont="1" applyFill="1" applyBorder="1" applyAlignment="1">
      <alignment horizontal="left" vertical="center"/>
    </xf>
    <xf numFmtId="0" fontId="0" fillId="0" borderId="30" xfId="0" applyBorder="1" applyAlignment="1">
      <alignment horizontal="left"/>
    </xf>
    <xf numFmtId="0" fontId="17" fillId="3" borderId="36" xfId="0" applyFont="1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165" fontId="15" fillId="0" borderId="5" xfId="0" applyNumberFormat="1" applyFont="1" applyBorder="1" applyAlignment="1">
      <alignment horizontal="center" vertical="center"/>
    </xf>
    <xf numFmtId="165" fontId="0" fillId="0" borderId="47" xfId="0" applyNumberForma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</cellXfs>
  <cellStyles count="8">
    <cellStyle name="Bad 2" xfId="6" xr:uid="{00000000-0005-0000-0000-000000000000}"/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  <cellStyle name="Normal 5" xfId="4" xr:uid="{00000000-0005-0000-0000-000005000000}"/>
    <cellStyle name="Normal 6" xfId="7" xr:uid="{00000000-0005-0000-0000-000006000000}"/>
    <cellStyle name="Percent 2" xfId="5" xr:uid="{00000000-0005-0000-0000-000007000000}"/>
  </cellStyles>
  <dxfs count="55">
    <dxf>
      <font>
        <color rgb="FF006100"/>
      </font>
      <fill>
        <patternFill>
          <bgColor rgb="FFC6EFCE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Sediment Gradation</a:t>
            </a:r>
            <a:endParaRPr lang="en-US" sz="30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Coarser Cobble Mix</a:t>
            </a:r>
            <a:r>
              <a:rPr lang="en-US" sz="30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843318788325238E-2"/>
          <c:y val="0.11626569628972919"/>
          <c:w val="0.86092214663643241"/>
          <c:h val="0.76543209876543206"/>
        </c:manualLayout>
      </c:layout>
      <c:scatterChart>
        <c:scatterStyle val="smoothMarker"/>
        <c:varyColors val="0"/>
        <c:ser>
          <c:idx val="4"/>
          <c:order val="0"/>
          <c:tx>
            <c:v>Design Mix</c:v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FD-40D1-9F1E-04D4C6D6E18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FD-40D1-9F1E-04D4C6D6E18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FD-40D1-9F1E-04D4C6D6E18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FD-40D1-9F1E-04D4C6D6E18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5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Average!$C$24:$C$44</c:f>
              <c:numCache>
                <c:formatCode>0</c:formatCode>
                <c:ptCount val="21"/>
                <c:pt idx="0">
                  <c:v>914.4</c:v>
                </c:pt>
                <c:pt idx="1">
                  <c:v>812.8</c:v>
                </c:pt>
                <c:pt idx="2">
                  <c:v>711.19999999999993</c:v>
                </c:pt>
                <c:pt idx="3">
                  <c:v>584.19999999999993</c:v>
                </c:pt>
                <c:pt idx="4">
                  <c:v>457.2</c:v>
                </c:pt>
                <c:pt idx="5">
                  <c:v>381</c:v>
                </c:pt>
                <c:pt idx="6">
                  <c:v>304.79999999999995</c:v>
                </c:pt>
                <c:pt idx="7">
                  <c:v>254</c:v>
                </c:pt>
                <c:pt idx="8">
                  <c:v>203.2</c:v>
                </c:pt>
                <c:pt idx="9">
                  <c:v>152.39999999999998</c:v>
                </c:pt>
                <c:pt idx="10">
                  <c:v>127</c:v>
                </c:pt>
                <c:pt idx="11">
                  <c:v>101.6</c:v>
                </c:pt>
                <c:pt idx="12" formatCode="0.0">
                  <c:v>76.199999999999989</c:v>
                </c:pt>
                <c:pt idx="13" formatCode="0.0">
                  <c:v>63.5</c:v>
                </c:pt>
                <c:pt idx="14" formatCode="0.0">
                  <c:v>50.8</c:v>
                </c:pt>
                <c:pt idx="15" formatCode="0.0">
                  <c:v>38.099999999999994</c:v>
                </c:pt>
                <c:pt idx="16" formatCode="0.0">
                  <c:v>25.4</c:v>
                </c:pt>
                <c:pt idx="17" formatCode="0.0">
                  <c:v>19.049999999999997</c:v>
                </c:pt>
                <c:pt idx="18" formatCode="0.00">
                  <c:v>4.75</c:v>
                </c:pt>
                <c:pt idx="19" formatCode="0.000">
                  <c:v>0.42499999999999999</c:v>
                </c:pt>
                <c:pt idx="20" formatCode="0.0000">
                  <c:v>7.4999999999999997E-2</c:v>
                </c:pt>
              </c:numCache>
            </c:numRef>
          </c:xVal>
          <c:yVal>
            <c:numRef>
              <c:f>Average!$M$24:$M$44</c:f>
              <c:numCache>
                <c:formatCode>0.0</c:formatCode>
                <c:ptCount val="2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87.5</c:v>
                </c:pt>
                <c:pt idx="6">
                  <c:v>75</c:v>
                </c:pt>
                <c:pt idx="7">
                  <c:v>68</c:v>
                </c:pt>
                <c:pt idx="8">
                  <c:v>63.916666666666657</c:v>
                </c:pt>
                <c:pt idx="9">
                  <c:v>59.833333333333329</c:v>
                </c:pt>
                <c:pt idx="10">
                  <c:v>55.75</c:v>
                </c:pt>
                <c:pt idx="11">
                  <c:v>53.75</c:v>
                </c:pt>
                <c:pt idx="12">
                  <c:v>49.75</c:v>
                </c:pt>
                <c:pt idx="13">
                  <c:v>46.25</c:v>
                </c:pt>
                <c:pt idx="14">
                  <c:v>36.75</c:v>
                </c:pt>
                <c:pt idx="15">
                  <c:v>31</c:v>
                </c:pt>
                <c:pt idx="16">
                  <c:v>25.25</c:v>
                </c:pt>
                <c:pt idx="17">
                  <c:v>17.25</c:v>
                </c:pt>
                <c:pt idx="18">
                  <c:v>10.5</c:v>
                </c:pt>
                <c:pt idx="19">
                  <c:v>4.8</c:v>
                </c:pt>
                <c:pt idx="20">
                  <c:v>2.1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82FD-40D1-9F1E-04D4C6D6E187}"/>
            </c:ext>
          </c:extLst>
        </c:ser>
        <c:ser>
          <c:idx val="3"/>
          <c:order val="1"/>
          <c:tx>
            <c:strRef>
              <c:f>Average!$P$52:$S$52</c:f>
              <c:strCache>
                <c:ptCount val="1"/>
                <c:pt idx="0">
                  <c:v>Fuller-Thompson Gradation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pPr>
              <a:solidFill>
                <a:schemeClr val="accent2">
                  <a:lumMod val="75000"/>
                </a:schemeClr>
              </a:solidFill>
            </c:spPr>
          </c:marker>
          <c:xVal>
            <c:numRef>
              <c:f>Average!$C$30:$C$44</c:f>
              <c:numCache>
                <c:formatCode>0</c:formatCode>
                <c:ptCount val="15"/>
                <c:pt idx="0">
                  <c:v>304.79999999999995</c:v>
                </c:pt>
                <c:pt idx="1">
                  <c:v>254</c:v>
                </c:pt>
                <c:pt idx="2">
                  <c:v>203.2</c:v>
                </c:pt>
                <c:pt idx="3">
                  <c:v>152.39999999999998</c:v>
                </c:pt>
                <c:pt idx="4">
                  <c:v>127</c:v>
                </c:pt>
                <c:pt idx="5">
                  <c:v>101.6</c:v>
                </c:pt>
                <c:pt idx="6" formatCode="0.0">
                  <c:v>76.199999999999989</c:v>
                </c:pt>
                <c:pt idx="7" formatCode="0.0">
                  <c:v>63.5</c:v>
                </c:pt>
                <c:pt idx="8" formatCode="0.0">
                  <c:v>50.8</c:v>
                </c:pt>
                <c:pt idx="9" formatCode="0.0">
                  <c:v>38.099999999999994</c:v>
                </c:pt>
                <c:pt idx="10" formatCode="0.0">
                  <c:v>25.4</c:v>
                </c:pt>
                <c:pt idx="11" formatCode="0.0">
                  <c:v>19.049999999999997</c:v>
                </c:pt>
                <c:pt idx="12" formatCode="0.00">
                  <c:v>4.75</c:v>
                </c:pt>
                <c:pt idx="13" formatCode="0.000">
                  <c:v>0.42499999999999999</c:v>
                </c:pt>
                <c:pt idx="14" formatCode="0.0000">
                  <c:v>7.4999999999999997E-2</c:v>
                </c:pt>
              </c:numCache>
            </c:numRef>
          </c:xVal>
          <c:yVal>
            <c:numRef>
              <c:f>Average!$Q$55:$Q$69</c:f>
              <c:numCache>
                <c:formatCode>0.00</c:formatCode>
                <c:ptCount val="15"/>
                <c:pt idx="0">
                  <c:v>83.321855635937851</c:v>
                </c:pt>
                <c:pt idx="1">
                  <c:v>76.758657912461743</c:v>
                </c:pt>
                <c:pt idx="2">
                  <c:v>69.425316266160706</c:v>
                </c:pt>
                <c:pt idx="3">
                  <c:v>60.995168498111511</c:v>
                </c:pt>
                <c:pt idx="4">
                  <c:v>56.190626544809376</c:v>
                </c:pt>
                <c:pt idx="5">
                  <c:v>50.822306240893525</c:v>
                </c:pt>
                <c:pt idx="6">
                  <c:v>44.651076859939138</c:v>
                </c:pt>
                <c:pt idx="7">
                  <c:v>41.133946285238984</c:v>
                </c:pt>
                <c:pt idx="8">
                  <c:v>37.204105801130147</c:v>
                </c:pt>
                <c:pt idx="9">
                  <c:v>32.686501469602803</c:v>
                </c:pt>
                <c:pt idx="10">
                  <c:v>27.234999566941156</c:v>
                </c:pt>
                <c:pt idx="11">
                  <c:v>23.92791962607556</c:v>
                </c:pt>
                <c:pt idx="12">
                  <c:v>12.807498820602504</c:v>
                </c:pt>
                <c:pt idx="13">
                  <c:v>4.3224225351077106</c:v>
                </c:pt>
                <c:pt idx="14">
                  <c:v>1.9802944428750386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82FD-40D1-9F1E-04D4C6D6E187}"/>
            </c:ext>
          </c:extLst>
        </c:ser>
        <c:ser>
          <c:idx val="0"/>
          <c:order val="2"/>
          <c:tx>
            <c:strRef>
              <c:f>Average!$C$7</c:f>
              <c:strCache>
                <c:ptCount val="1"/>
                <c:pt idx="0">
                  <c:v>Upstream Riffle</c:v>
                </c:pt>
              </c:strCache>
            </c:strRef>
          </c:tx>
          <c:xVal>
            <c:numRef>
              <c:f>Average!$C$11:$F$11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 formatCode="0.0">
                  <c:v>0</c:v>
                </c:pt>
                <c:pt idx="3" formatCode="0.0">
                  <c:v>0</c:v>
                </c:pt>
              </c:numCache>
            </c:numRef>
          </c:xVal>
          <c:yVal>
            <c:numLit>
              <c:formatCode>General</c:formatCode>
              <c:ptCount val="4"/>
              <c:pt idx="0">
                <c:v>100</c:v>
              </c:pt>
              <c:pt idx="1">
                <c:v>84</c:v>
              </c:pt>
              <c:pt idx="2">
                <c:v>50</c:v>
              </c:pt>
              <c:pt idx="3">
                <c:v>16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6-82FD-40D1-9F1E-04D4C6D6E187}"/>
            </c:ext>
          </c:extLst>
        </c:ser>
        <c:ser>
          <c:idx val="1"/>
          <c:order val="3"/>
          <c:tx>
            <c:strRef>
              <c:f>Average!$I$7</c:f>
              <c:strCache>
                <c:ptCount val="1"/>
                <c:pt idx="0">
                  <c:v>Upstream Gravel Bar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</c:spPr>
          </c:marker>
          <c:xVal>
            <c:numRef>
              <c:f>Average!$I$11:$L$11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 formatCode="0.0">
                  <c:v>0</c:v>
                </c:pt>
                <c:pt idx="3" formatCode="0.0">
                  <c:v>0</c:v>
                </c:pt>
              </c:numCache>
            </c:numRef>
          </c:xVal>
          <c:yVal>
            <c:numLit>
              <c:formatCode>General</c:formatCode>
              <c:ptCount val="4"/>
              <c:pt idx="0">
                <c:v>100</c:v>
              </c:pt>
              <c:pt idx="1">
                <c:v>84</c:v>
              </c:pt>
              <c:pt idx="2">
                <c:v>50</c:v>
              </c:pt>
              <c:pt idx="3">
                <c:v>16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7-82FD-40D1-9F1E-04D4C6D6E187}"/>
            </c:ext>
          </c:extLst>
        </c:ser>
        <c:ser>
          <c:idx val="2"/>
          <c:order val="4"/>
          <c:tx>
            <c:strRef>
              <c:f>Average!$C$14</c:f>
              <c:strCache>
                <c:ptCount val="1"/>
                <c:pt idx="0">
                  <c:v>Downstream Riffle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noFill/>
              </a:ln>
            </c:spPr>
          </c:marker>
          <c:xVal>
            <c:numRef>
              <c:f>Average!$C$18:$F$18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 formatCode="0.0">
                  <c:v>0</c:v>
                </c:pt>
                <c:pt idx="3" formatCode="0.0">
                  <c:v>0</c:v>
                </c:pt>
              </c:numCache>
            </c:numRef>
          </c:xVal>
          <c:yVal>
            <c:numLit>
              <c:formatCode>General</c:formatCode>
              <c:ptCount val="4"/>
              <c:pt idx="0">
                <c:v>100</c:v>
              </c:pt>
              <c:pt idx="1">
                <c:v>84</c:v>
              </c:pt>
              <c:pt idx="2">
                <c:v>50</c:v>
              </c:pt>
              <c:pt idx="3">
                <c:v>16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8-82FD-40D1-9F1E-04D4C6D6E187}"/>
            </c:ext>
          </c:extLst>
        </c:ser>
        <c:ser>
          <c:idx val="5"/>
          <c:order val="5"/>
          <c:tx>
            <c:strRef>
              <c:f>Average!$I$14</c:f>
              <c:strCache>
                <c:ptCount val="1"/>
                <c:pt idx="0">
                  <c:v>Downstream Gravel Bar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pPr>
              <a:solidFill>
                <a:srgbClr val="92D050"/>
              </a:solidFill>
              <a:ln>
                <a:noFill/>
              </a:ln>
            </c:spPr>
          </c:marker>
          <c:xVal>
            <c:numRef>
              <c:f>Average!$I$18:$L$18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 formatCode="0.0">
                  <c:v>0</c:v>
                </c:pt>
                <c:pt idx="3" formatCode="0.0">
                  <c:v>0</c:v>
                </c:pt>
              </c:numCache>
            </c:numRef>
          </c:xVal>
          <c:yVal>
            <c:numLit>
              <c:formatCode>General</c:formatCode>
              <c:ptCount val="4"/>
              <c:pt idx="0">
                <c:v>100</c:v>
              </c:pt>
              <c:pt idx="1">
                <c:v>84</c:v>
              </c:pt>
              <c:pt idx="2">
                <c:v>50</c:v>
              </c:pt>
              <c:pt idx="3">
                <c:v>16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9-82FD-40D1-9F1E-04D4C6D6E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97632"/>
        <c:axId val="79767040"/>
      </c:scatterChart>
      <c:valAx>
        <c:axId val="79397632"/>
        <c:scaling>
          <c:logBase val="10"/>
          <c:orientation val="minMax"/>
          <c:min val="0.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80808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Grain Size [mm]</a:t>
                </a:r>
              </a:p>
            </c:rich>
          </c:tx>
          <c:layout>
            <c:manualLayout>
              <c:xMode val="edge"/>
              <c:yMode val="edge"/>
              <c:x val="0.4882842444694413"/>
              <c:y val="0.9203142044219262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767040"/>
        <c:crosses val="autoZero"/>
        <c:crossBetween val="midCat"/>
      </c:valAx>
      <c:valAx>
        <c:axId val="79767040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Filter</a:t>
                </a:r>
              </a:p>
            </c:rich>
          </c:tx>
          <c:layout>
            <c:manualLayout>
              <c:xMode val="edge"/>
              <c:yMode val="edge"/>
              <c:x val="3.4769493813273343E-2"/>
              <c:y val="0.4017957419188147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397632"/>
        <c:crossesAt val="0.1"/>
        <c:crossBetween val="midCat"/>
        <c:majorUnit val="10"/>
        <c:minorUnit val="5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739233595800524"/>
          <c:y val="0.15937146512148165"/>
          <c:w val="0.18198200308074555"/>
          <c:h val="0.238044104781019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333375</xdr:colOff>
      <xdr:row>2</xdr:row>
      <xdr:rowOff>4439</xdr:rowOff>
    </xdr:to>
    <xdr:pic>
      <xdr:nvPicPr>
        <xdr:cNvPr id="2" name="Picture 1" descr="http://wwwi.wsdot.wa.gov/NR/rdonlyres/00152D37-958C-4592-B6F8-1FA2E2DD79E5/0/DOTlogoblack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95500" cy="3949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283380</xdr:colOff>
      <xdr:row>50</xdr:row>
      <xdr:rowOff>139700</xdr:rowOff>
    </xdr:from>
    <xdr:to>
      <xdr:col>14</xdr:col>
      <xdr:colOff>969180</xdr:colOff>
      <xdr:row>97</xdr:row>
      <xdr:rowOff>114300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371475</xdr:colOff>
      <xdr:row>0</xdr:row>
      <xdr:rowOff>0</xdr:rowOff>
    </xdr:from>
    <xdr:to>
      <xdr:col>4</xdr:col>
      <xdr:colOff>276225</xdr:colOff>
      <xdr:row>0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571625" y="0"/>
          <a:ext cx="1314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V</a:t>
          </a:r>
          <a:r>
            <a:rPr lang="en-US" sz="800" b="0" i="1" u="none" strike="noStrike" baseline="-25000">
              <a:solidFill>
                <a:srgbClr val="000000"/>
              </a:solidFill>
              <a:latin typeface="Arial"/>
              <a:cs typeface="Arial"/>
            </a:rPr>
            <a:t>Q100</a:t>
          </a:r>
          <a:r>
            <a:rPr lang="en-US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=9.57 (D</a:t>
          </a:r>
          <a:r>
            <a:rPr lang="en-US" sz="800" b="0" i="1" u="none" strike="noStrike" baseline="-25000">
              <a:solidFill>
                <a:srgbClr val="000000"/>
              </a:solidFill>
              <a:latin typeface="Arial"/>
              <a:cs typeface="Arial"/>
            </a:rPr>
            <a:t>84</a:t>
          </a:r>
          <a:r>
            <a:rPr lang="en-US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)</a:t>
          </a:r>
          <a:r>
            <a:rPr lang="en-US" sz="800" b="0" i="1" u="none" strike="noStrike" baseline="30000">
              <a:solidFill>
                <a:srgbClr val="000000"/>
              </a:solidFill>
              <a:latin typeface="Arial"/>
              <a:cs typeface="Arial"/>
            </a:rPr>
            <a:t>0.487</a:t>
          </a:r>
        </a:p>
      </xdr:txBody>
    </xdr:sp>
    <xdr:clientData/>
  </xdr:twoCellAnchor>
  <xdr:twoCellAnchor>
    <xdr:from>
      <xdr:col>2</xdr:col>
      <xdr:colOff>28575</xdr:colOff>
      <xdr:row>0</xdr:row>
      <xdr:rowOff>0</xdr:rowOff>
    </xdr:from>
    <xdr:to>
      <xdr:col>7</xdr:col>
      <xdr:colOff>28575</xdr:colOff>
      <xdr:row>0</xdr:row>
      <xdr:rowOff>0</xdr:rowOff>
    </xdr:to>
    <xdr:sp macro="" textlink="">
      <xdr:nvSpPr>
        <xdr:cNvPr id="4" name="Rectangl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1228725" y="0"/>
          <a:ext cx="33909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7</xdr:row>
      <xdr:rowOff>123825</xdr:rowOff>
    </xdr:from>
    <xdr:to>
      <xdr:col>10</xdr:col>
      <xdr:colOff>180200</xdr:colOff>
      <xdr:row>29</xdr:row>
      <xdr:rowOff>28142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257300"/>
          <a:ext cx="6200000" cy="3466667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31</xdr:row>
      <xdr:rowOff>66675</xdr:rowOff>
    </xdr:from>
    <xdr:to>
      <xdr:col>8</xdr:col>
      <xdr:colOff>342340</xdr:colOff>
      <xdr:row>57</xdr:row>
      <xdr:rowOff>28054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3425" y="5086350"/>
          <a:ext cx="4485715" cy="41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K84"/>
  <sheetViews>
    <sheetView workbookViewId="0">
      <selection activeCell="H5" sqref="H5"/>
    </sheetView>
  </sheetViews>
  <sheetFormatPr defaultColWidth="9.140625" defaultRowHeight="15" x14ac:dyDescent="0.25"/>
  <cols>
    <col min="1" max="1" width="15.7109375" style="91" customWidth="1"/>
    <col min="2" max="2" width="10.7109375" style="91" customWidth="1"/>
    <col min="3" max="3" width="10.85546875" style="91" customWidth="1"/>
    <col min="4" max="4" width="11.7109375" style="91" customWidth="1"/>
    <col min="5" max="5" width="11.28515625" style="91" customWidth="1"/>
    <col min="6" max="6" width="11.42578125" style="91" customWidth="1"/>
    <col min="7" max="7" width="10.5703125" style="91" customWidth="1"/>
    <col min="8" max="8" width="10.7109375" style="91" bestFit="1" customWidth="1"/>
    <col min="9" max="9" width="9.7109375" style="91" customWidth="1"/>
    <col min="10" max="10" width="11" style="91" customWidth="1"/>
    <col min="11" max="11" width="10.85546875" style="91" customWidth="1"/>
    <col min="12" max="12" width="12.7109375" style="91" customWidth="1"/>
    <col min="13" max="13" width="9.140625" style="91" customWidth="1"/>
    <col min="14" max="16384" width="9.140625" style="91"/>
  </cols>
  <sheetData>
    <row r="1" spans="1:11" x14ac:dyDescent="0.25">
      <c r="A1" s="120"/>
      <c r="B1" s="120"/>
      <c r="C1" s="120"/>
      <c r="F1" s="121" t="s">
        <v>73</v>
      </c>
      <c r="G1" s="121"/>
      <c r="H1" s="121"/>
      <c r="I1" s="121"/>
    </row>
    <row r="2" spans="1:11" ht="15.75" x14ac:dyDescent="0.25">
      <c r="A2" s="120"/>
      <c r="B2" s="120"/>
      <c r="C2" s="120"/>
      <c r="D2" s="92"/>
      <c r="E2" s="92"/>
      <c r="F2" s="121"/>
      <c r="G2" s="121"/>
      <c r="H2" s="121"/>
      <c r="I2" s="121"/>
    </row>
    <row r="3" spans="1:11" x14ac:dyDescent="0.25">
      <c r="A3" s="120"/>
      <c r="B3" s="120"/>
      <c r="C3" s="120"/>
      <c r="F3" s="121"/>
      <c r="G3" s="121"/>
      <c r="H3" s="121"/>
      <c r="I3" s="121"/>
    </row>
    <row r="4" spans="1:11" x14ac:dyDescent="0.25">
      <c r="A4" s="93" t="s">
        <v>33</v>
      </c>
      <c r="B4" s="94"/>
      <c r="C4" s="94"/>
      <c r="D4" s="94"/>
      <c r="E4" s="94"/>
      <c r="F4" s="94"/>
      <c r="G4" s="94"/>
      <c r="H4" s="94"/>
      <c r="I4" s="94"/>
    </row>
    <row r="5" spans="1:11" x14ac:dyDescent="0.25">
      <c r="A5" s="93" t="s">
        <v>74</v>
      </c>
      <c r="B5" s="95"/>
      <c r="C5" s="94"/>
      <c r="D5" s="94"/>
      <c r="E5" s="94"/>
      <c r="F5" s="96" t="s">
        <v>75</v>
      </c>
      <c r="G5" s="94"/>
      <c r="H5" s="94"/>
      <c r="I5" s="94"/>
    </row>
    <row r="6" spans="1:11" x14ac:dyDescent="0.25">
      <c r="A6" s="93" t="s">
        <v>76</v>
      </c>
      <c r="B6" s="97"/>
      <c r="C6" s="97"/>
      <c r="D6" s="97"/>
      <c r="E6" s="97"/>
      <c r="F6" s="97"/>
      <c r="G6" s="97"/>
      <c r="H6" s="97"/>
      <c r="I6" s="94"/>
    </row>
    <row r="7" spans="1:11" x14ac:dyDescent="0.25">
      <c r="A7" s="93" t="s">
        <v>32</v>
      </c>
      <c r="B7" s="97"/>
      <c r="C7" s="97"/>
      <c r="D7" s="97"/>
      <c r="E7" s="97"/>
      <c r="F7" s="98" t="s">
        <v>77</v>
      </c>
      <c r="G7" s="97"/>
      <c r="H7" s="99"/>
      <c r="I7" s="94"/>
    </row>
    <row r="8" spans="1:11" x14ac:dyDescent="0.25">
      <c r="A8" s="93" t="s">
        <v>78</v>
      </c>
      <c r="B8" s="97"/>
      <c r="C8" s="97"/>
      <c r="D8" s="97"/>
      <c r="E8" s="97"/>
      <c r="F8" s="98" t="s">
        <v>79</v>
      </c>
      <c r="G8" s="97"/>
      <c r="H8" s="99"/>
      <c r="I8" s="94"/>
    </row>
    <row r="9" spans="1:11" x14ac:dyDescent="0.25">
      <c r="A9" s="93" t="s">
        <v>80</v>
      </c>
      <c r="B9" s="97"/>
      <c r="C9" s="97"/>
      <c r="D9" s="97"/>
      <c r="E9" s="97"/>
      <c r="F9" s="98"/>
      <c r="H9" s="100"/>
    </row>
    <row r="11" spans="1:11" s="53" customFormat="1" ht="12.75" x14ac:dyDescent="0.2">
      <c r="A11" s="101" t="s">
        <v>84</v>
      </c>
      <c r="I11" s="60"/>
      <c r="J11" s="103"/>
    </row>
    <row r="12" spans="1:11" s="53" customFormat="1" ht="12.75" x14ac:dyDescent="0.2">
      <c r="A12" s="101"/>
      <c r="I12" s="60"/>
      <c r="J12" s="103"/>
    </row>
    <row r="13" spans="1:11" ht="18" x14ac:dyDescent="0.25">
      <c r="A13" s="22"/>
      <c r="B13" s="112" t="s">
        <v>9</v>
      </c>
      <c r="C13" s="113"/>
      <c r="D13" s="113"/>
      <c r="E13" s="113"/>
      <c r="F13" s="113"/>
      <c r="G13" s="113"/>
      <c r="H13" s="113"/>
      <c r="I13"/>
      <c r="J13"/>
      <c r="K13"/>
    </row>
    <row r="14" spans="1:11" ht="15.75" thickBot="1" x14ac:dyDescent="0.3">
      <c r="A14"/>
      <c r="B14" s="114" t="s">
        <v>10</v>
      </c>
      <c r="C14" s="113"/>
      <c r="D14" s="113"/>
      <c r="E14" s="113"/>
      <c r="F14" s="113"/>
      <c r="G14" s="113"/>
      <c r="H14" s="113"/>
      <c r="I14"/>
      <c r="J14"/>
      <c r="K14"/>
    </row>
    <row r="15" spans="1:11" ht="15.75" thickTop="1" x14ac:dyDescent="0.25">
      <c r="A15" s="115" t="s">
        <v>15</v>
      </c>
      <c r="B15" s="116"/>
      <c r="C15" s="11" t="s">
        <v>2</v>
      </c>
      <c r="D15" s="117" t="s">
        <v>1</v>
      </c>
      <c r="E15" s="118"/>
      <c r="F15" s="118"/>
      <c r="G15" s="118"/>
      <c r="H15" s="119"/>
      <c r="I15" s="33"/>
      <c r="J15" s="34" t="s">
        <v>26</v>
      </c>
      <c r="K15" s="122" t="s">
        <v>8</v>
      </c>
    </row>
    <row r="16" spans="1:11" ht="15.75" thickBot="1" x14ac:dyDescent="0.3">
      <c r="A16" s="20" t="s">
        <v>16</v>
      </c>
      <c r="B16" s="21" t="s">
        <v>17</v>
      </c>
      <c r="C16" s="12" t="s">
        <v>12</v>
      </c>
      <c r="D16" s="13" t="s">
        <v>7</v>
      </c>
      <c r="E16" s="13" t="s">
        <v>3</v>
      </c>
      <c r="F16" s="13" t="s">
        <v>4</v>
      </c>
      <c r="G16" s="13" t="s">
        <v>5</v>
      </c>
      <c r="H16" s="14" t="s">
        <v>6</v>
      </c>
      <c r="I16" s="32" t="s">
        <v>27</v>
      </c>
      <c r="J16" s="32" t="s">
        <v>28</v>
      </c>
      <c r="K16" s="123"/>
    </row>
    <row r="17" spans="1:11" ht="15.75" thickTop="1" x14ac:dyDescent="0.25">
      <c r="A17" s="16">
        <v>36</v>
      </c>
      <c r="B17" s="25">
        <f t="shared" ref="B17:B23" si="0">A17*25.4</f>
        <v>914.4</v>
      </c>
      <c r="C17" s="1">
        <v>100</v>
      </c>
      <c r="D17" s="2">
        <v>100</v>
      </c>
      <c r="E17" s="2">
        <v>100</v>
      </c>
      <c r="F17" s="2">
        <v>100</v>
      </c>
      <c r="G17" s="2">
        <v>100</v>
      </c>
      <c r="H17" s="2">
        <v>100</v>
      </c>
      <c r="I17" s="2">
        <v>100</v>
      </c>
      <c r="J17" s="2">
        <v>100</v>
      </c>
      <c r="K17" s="72">
        <f>Average!M24</f>
        <v>100</v>
      </c>
    </row>
    <row r="18" spans="1:11" x14ac:dyDescent="0.25">
      <c r="A18" s="16">
        <v>32</v>
      </c>
      <c r="B18" s="25">
        <f t="shared" si="0"/>
        <v>812.8</v>
      </c>
      <c r="C18" s="1">
        <v>100</v>
      </c>
      <c r="D18" s="2">
        <v>100</v>
      </c>
      <c r="E18" s="2">
        <v>100</v>
      </c>
      <c r="F18" s="2">
        <v>100</v>
      </c>
      <c r="G18" s="2">
        <v>100</v>
      </c>
      <c r="H18" s="2">
        <v>100</v>
      </c>
      <c r="I18" s="2">
        <v>100</v>
      </c>
      <c r="J18" s="2">
        <v>100</v>
      </c>
      <c r="K18" s="72">
        <f>Average!M25</f>
        <v>100</v>
      </c>
    </row>
    <row r="19" spans="1:11" x14ac:dyDescent="0.25">
      <c r="A19" s="16">
        <v>28</v>
      </c>
      <c r="B19" s="25">
        <f t="shared" si="0"/>
        <v>711.19999999999993</v>
      </c>
      <c r="C19" s="1">
        <v>100</v>
      </c>
      <c r="D19" s="2">
        <v>100</v>
      </c>
      <c r="E19" s="2">
        <v>100</v>
      </c>
      <c r="F19" s="2">
        <v>100</v>
      </c>
      <c r="G19" s="2">
        <v>100</v>
      </c>
      <c r="H19" s="2">
        <v>100</v>
      </c>
      <c r="I19" s="2">
        <v>100</v>
      </c>
      <c r="J19" s="3">
        <v>100</v>
      </c>
      <c r="K19" s="72">
        <f>Average!M26</f>
        <v>100</v>
      </c>
    </row>
    <row r="20" spans="1:11" x14ac:dyDescent="0.25">
      <c r="A20" s="16">
        <v>23</v>
      </c>
      <c r="B20" s="25">
        <f t="shared" si="0"/>
        <v>584.19999999999993</v>
      </c>
      <c r="C20" s="1">
        <v>100</v>
      </c>
      <c r="D20" s="2">
        <v>100</v>
      </c>
      <c r="E20" s="2">
        <v>100</v>
      </c>
      <c r="F20" s="2">
        <v>100</v>
      </c>
      <c r="G20" s="2">
        <v>100</v>
      </c>
      <c r="H20" s="2">
        <v>100</v>
      </c>
      <c r="I20" s="2">
        <v>100</v>
      </c>
      <c r="J20" s="4">
        <v>50</v>
      </c>
      <c r="K20" s="72">
        <f>Average!M27</f>
        <v>100</v>
      </c>
    </row>
    <row r="21" spans="1:11" x14ac:dyDescent="0.25">
      <c r="A21" s="16">
        <v>18</v>
      </c>
      <c r="B21" s="25">
        <f t="shared" si="0"/>
        <v>457.2</v>
      </c>
      <c r="C21" s="1">
        <v>100</v>
      </c>
      <c r="D21" s="2">
        <v>100</v>
      </c>
      <c r="E21" s="2">
        <v>100</v>
      </c>
      <c r="F21" s="2">
        <v>100</v>
      </c>
      <c r="G21" s="2">
        <v>100</v>
      </c>
      <c r="H21" s="2">
        <v>100</v>
      </c>
      <c r="I21" s="3">
        <v>100</v>
      </c>
      <c r="J21" s="4"/>
      <c r="K21" s="72">
        <f>Average!M28</f>
        <v>100</v>
      </c>
    </row>
    <row r="22" spans="1:11" x14ac:dyDescent="0.25">
      <c r="A22" s="16">
        <v>15</v>
      </c>
      <c r="B22" s="25">
        <f t="shared" si="0"/>
        <v>381</v>
      </c>
      <c r="C22" s="1">
        <v>100</v>
      </c>
      <c r="D22" s="2">
        <v>100</v>
      </c>
      <c r="E22" s="2">
        <v>100</v>
      </c>
      <c r="F22" s="2">
        <v>100</v>
      </c>
      <c r="G22" s="2">
        <v>100</v>
      </c>
      <c r="H22" s="2">
        <v>100</v>
      </c>
      <c r="I22" s="4">
        <v>50</v>
      </c>
      <c r="J22" s="4"/>
      <c r="K22" s="72">
        <f>Average!M29</f>
        <v>87.5</v>
      </c>
    </row>
    <row r="23" spans="1:11" x14ac:dyDescent="0.25">
      <c r="A23" s="16">
        <v>12</v>
      </c>
      <c r="B23" s="25">
        <f t="shared" si="0"/>
        <v>304.79999999999995</v>
      </c>
      <c r="C23" s="1">
        <v>100</v>
      </c>
      <c r="D23" s="2">
        <v>100</v>
      </c>
      <c r="E23" s="2">
        <v>100</v>
      </c>
      <c r="F23" s="2">
        <v>100</v>
      </c>
      <c r="G23" s="2">
        <v>100</v>
      </c>
      <c r="H23" s="3">
        <v>100</v>
      </c>
      <c r="I23" s="3"/>
      <c r="J23" s="3"/>
      <c r="K23" s="72">
        <f>Average!M30</f>
        <v>75</v>
      </c>
    </row>
    <row r="24" spans="1:11" x14ac:dyDescent="0.25">
      <c r="A24" s="16">
        <v>10</v>
      </c>
      <c r="B24" s="25">
        <f>A24*25.4</f>
        <v>254</v>
      </c>
      <c r="C24" s="1">
        <v>100</v>
      </c>
      <c r="D24" s="2">
        <v>100</v>
      </c>
      <c r="E24" s="2">
        <v>100</v>
      </c>
      <c r="F24" s="2">
        <v>100</v>
      </c>
      <c r="G24" s="3">
        <v>100</v>
      </c>
      <c r="H24" s="5">
        <v>80</v>
      </c>
      <c r="I24" s="4"/>
      <c r="J24" s="4"/>
      <c r="K24" s="72">
        <f>Average!M31</f>
        <v>68</v>
      </c>
    </row>
    <row r="25" spans="1:11" x14ac:dyDescent="0.25">
      <c r="A25" s="16">
        <v>8</v>
      </c>
      <c r="B25" s="25">
        <f t="shared" ref="B25:B34" si="1">A25*25.4</f>
        <v>203.2</v>
      </c>
      <c r="C25" s="1">
        <v>100</v>
      </c>
      <c r="D25" s="2">
        <v>100</v>
      </c>
      <c r="E25" s="2">
        <v>100</v>
      </c>
      <c r="F25" s="3">
        <v>100</v>
      </c>
      <c r="G25" s="5">
        <v>80</v>
      </c>
      <c r="H25" s="4">
        <f>H24-(($I$29-$I$32)/3)</f>
        <v>80</v>
      </c>
      <c r="I25" s="5"/>
      <c r="J25" s="5"/>
      <c r="K25" s="72">
        <f>Average!M32</f>
        <v>63.916666666666657</v>
      </c>
    </row>
    <row r="26" spans="1:11" x14ac:dyDescent="0.25">
      <c r="A26" s="16">
        <v>6</v>
      </c>
      <c r="B26" s="25">
        <f t="shared" si="1"/>
        <v>152.39999999999998</v>
      </c>
      <c r="C26" s="1">
        <v>100</v>
      </c>
      <c r="D26" s="2">
        <v>100</v>
      </c>
      <c r="E26" s="3">
        <v>100</v>
      </c>
      <c r="F26" s="5">
        <v>80</v>
      </c>
      <c r="G26" s="4">
        <f>G25-(($H$30-$H$33)/3)</f>
        <v>80</v>
      </c>
      <c r="H26" s="4">
        <f>H25-(($I$29-$I$32)/3)</f>
        <v>80</v>
      </c>
      <c r="I26" s="4"/>
      <c r="J26" s="4"/>
      <c r="K26" s="72">
        <f>Average!M33</f>
        <v>59.833333333333329</v>
      </c>
    </row>
    <row r="27" spans="1:11" x14ac:dyDescent="0.25">
      <c r="A27" s="16">
        <v>5</v>
      </c>
      <c r="B27" s="25">
        <f t="shared" si="1"/>
        <v>127</v>
      </c>
      <c r="C27" s="1">
        <v>100</v>
      </c>
      <c r="D27" s="2">
        <v>100</v>
      </c>
      <c r="E27" s="5">
        <v>80</v>
      </c>
      <c r="F27" s="4">
        <f>F26-(($G$31-$G$34)/3)</f>
        <v>74.166666666666671</v>
      </c>
      <c r="G27" s="4">
        <f>G26-(($H$30-$H$33)/3)</f>
        <v>80</v>
      </c>
      <c r="H27" s="57">
        <v>45</v>
      </c>
      <c r="I27" s="5"/>
      <c r="J27" s="5"/>
      <c r="K27" s="72">
        <f>Average!M34</f>
        <v>55.75</v>
      </c>
    </row>
    <row r="28" spans="1:11" x14ac:dyDescent="0.25">
      <c r="A28" s="16">
        <v>4</v>
      </c>
      <c r="B28" s="25">
        <f t="shared" si="1"/>
        <v>101.6</v>
      </c>
      <c r="C28" s="1">
        <v>100</v>
      </c>
      <c r="D28" s="3">
        <v>100</v>
      </c>
      <c r="E28" s="4">
        <f>(E27-(($F$32-$F$36)/4))</f>
        <v>69.5</v>
      </c>
      <c r="F28" s="4">
        <f>F27-(($G$31-$G$34)/3)</f>
        <v>68.333333333333343</v>
      </c>
      <c r="G28" s="57">
        <v>45</v>
      </c>
      <c r="H28" s="4">
        <f>H27-(($I$32-$I$39)/7)</f>
        <v>45</v>
      </c>
      <c r="I28" s="4"/>
      <c r="J28" s="4"/>
      <c r="K28" s="72">
        <f>Average!M35</f>
        <v>53.75</v>
      </c>
    </row>
    <row r="29" spans="1:11" x14ac:dyDescent="0.25">
      <c r="A29" s="16">
        <v>3</v>
      </c>
      <c r="B29" s="23">
        <f t="shared" si="1"/>
        <v>76.199999999999989</v>
      </c>
      <c r="C29" s="1">
        <v>100</v>
      </c>
      <c r="D29" s="5">
        <v>80</v>
      </c>
      <c r="E29" s="4">
        <f t="shared" ref="E29:E30" si="2">(E28-(($F$32-$F$36)/4))</f>
        <v>59</v>
      </c>
      <c r="F29" s="57">
        <v>45</v>
      </c>
      <c r="G29" s="4">
        <f>G28-(($H$33-$H$39)/6)</f>
        <v>37.5</v>
      </c>
      <c r="H29" s="4">
        <f t="shared" ref="H29:H33" si="3">H28-(($I$32-$I$39)/7)</f>
        <v>45</v>
      </c>
      <c r="I29" s="4"/>
      <c r="J29" s="4"/>
      <c r="K29" s="72">
        <f>Average!M36</f>
        <v>49.75</v>
      </c>
    </row>
    <row r="30" spans="1:11" x14ac:dyDescent="0.25">
      <c r="A30" s="16">
        <v>2.5</v>
      </c>
      <c r="B30" s="23">
        <f t="shared" si="1"/>
        <v>63.5</v>
      </c>
      <c r="C30" s="6">
        <v>100</v>
      </c>
      <c r="D30" s="4">
        <f>(D29-(($E$34-$E$37)/3))</f>
        <v>78.333333333333329</v>
      </c>
      <c r="E30" s="4">
        <f t="shared" si="2"/>
        <v>48.5</v>
      </c>
      <c r="F30" s="4">
        <f>F29-(($G$34-$G$39)/5)</f>
        <v>44</v>
      </c>
      <c r="G30" s="4">
        <f t="shared" ref="G30:G33" si="4">G29-(($H$33-$H$39)/6)</f>
        <v>30</v>
      </c>
      <c r="H30" s="4">
        <f t="shared" si="3"/>
        <v>45</v>
      </c>
      <c r="I30" s="4"/>
      <c r="J30" s="4"/>
      <c r="K30" s="72">
        <f>Average!M37</f>
        <v>46.25</v>
      </c>
    </row>
    <row r="31" spans="1:11" x14ac:dyDescent="0.25">
      <c r="A31" s="16">
        <v>2</v>
      </c>
      <c r="B31" s="23">
        <f t="shared" si="1"/>
        <v>50.8</v>
      </c>
      <c r="C31" s="7">
        <v>80</v>
      </c>
      <c r="D31" s="4">
        <f>(D30-(($E$34-$E$37)/3))</f>
        <v>76.666666666666657</v>
      </c>
      <c r="E31" s="57">
        <v>45</v>
      </c>
      <c r="F31" s="4">
        <f t="shared" ref="F31:F33" si="5">F30-(($G$34-$G$39)/5)</f>
        <v>43</v>
      </c>
      <c r="G31" s="4">
        <f t="shared" si="4"/>
        <v>22.5</v>
      </c>
      <c r="H31" s="4">
        <f t="shared" si="3"/>
        <v>45</v>
      </c>
      <c r="I31" s="4"/>
      <c r="J31" s="4"/>
      <c r="K31" s="72">
        <f>Average!M38</f>
        <v>36.75</v>
      </c>
    </row>
    <row r="32" spans="1:11" x14ac:dyDescent="0.25">
      <c r="A32" s="16">
        <v>1.5</v>
      </c>
      <c r="B32" s="23">
        <f t="shared" si="1"/>
        <v>38.099999999999994</v>
      </c>
      <c r="C32" s="8">
        <f>C31-(C31-C33)/2</f>
        <v>72.5</v>
      </c>
      <c r="D32" s="7">
        <v>35</v>
      </c>
      <c r="E32" s="4">
        <f>(E31-(($F$36-$F$39)/3))</f>
        <v>45</v>
      </c>
      <c r="F32" s="4">
        <f t="shared" si="5"/>
        <v>42</v>
      </c>
      <c r="G32" s="4">
        <f t="shared" si="4"/>
        <v>15</v>
      </c>
      <c r="H32" s="4">
        <f t="shared" si="3"/>
        <v>45</v>
      </c>
      <c r="I32" s="4"/>
      <c r="J32" s="4"/>
      <c r="K32" s="72">
        <f>Average!M39</f>
        <v>31</v>
      </c>
    </row>
    <row r="33" spans="1:11" x14ac:dyDescent="0.25">
      <c r="A33" s="16">
        <v>1</v>
      </c>
      <c r="B33" s="23">
        <f t="shared" si="1"/>
        <v>25.4</v>
      </c>
      <c r="C33" s="7">
        <v>65</v>
      </c>
      <c r="D33" s="4">
        <v>20</v>
      </c>
      <c r="E33" s="4">
        <f>(E32-(($F$36-$F$39)/3))</f>
        <v>45</v>
      </c>
      <c r="F33" s="4">
        <f t="shared" si="5"/>
        <v>41</v>
      </c>
      <c r="G33" s="4">
        <f t="shared" si="4"/>
        <v>7.5</v>
      </c>
      <c r="H33" s="4">
        <f t="shared" si="3"/>
        <v>45</v>
      </c>
      <c r="I33" s="4"/>
      <c r="J33" s="4"/>
      <c r="K33" s="72">
        <f>Average!M40</f>
        <v>25.25</v>
      </c>
    </row>
    <row r="34" spans="1:11" x14ac:dyDescent="0.25">
      <c r="A34" s="17">
        <v>0.75</v>
      </c>
      <c r="B34" s="23">
        <f t="shared" si="1"/>
        <v>19.049999999999997</v>
      </c>
      <c r="C34" s="8">
        <f>C33-(C33-C35)/2</f>
        <v>50</v>
      </c>
      <c r="D34" s="5">
        <v>5</v>
      </c>
      <c r="E34" s="5">
        <v>5</v>
      </c>
      <c r="F34" s="5">
        <v>5</v>
      </c>
      <c r="G34" s="5">
        <v>5</v>
      </c>
      <c r="H34" s="5">
        <v>5</v>
      </c>
      <c r="I34" s="5"/>
      <c r="J34" s="5"/>
      <c r="K34" s="72">
        <f>Average!M41</f>
        <v>17.25</v>
      </c>
    </row>
    <row r="35" spans="1:11" x14ac:dyDescent="0.25">
      <c r="A35" s="18" t="s">
        <v>18</v>
      </c>
      <c r="B35" s="15">
        <v>4.75</v>
      </c>
      <c r="C35" s="7">
        <v>35</v>
      </c>
      <c r="D35" s="4"/>
      <c r="E35" s="4"/>
      <c r="F35" s="4"/>
      <c r="G35" s="4"/>
      <c r="H35" s="4"/>
      <c r="I35" s="4"/>
      <c r="J35" s="4"/>
      <c r="K35" s="72">
        <f>Average!M42</f>
        <v>10.5</v>
      </c>
    </row>
    <row r="36" spans="1:11" x14ac:dyDescent="0.25">
      <c r="A36" s="18" t="s">
        <v>19</v>
      </c>
      <c r="B36" s="24">
        <v>0.42499999999999999</v>
      </c>
      <c r="C36" s="7">
        <v>16</v>
      </c>
      <c r="D36" s="4"/>
      <c r="E36" s="4"/>
      <c r="F36" s="4"/>
      <c r="G36" s="4"/>
      <c r="H36" s="4"/>
      <c r="I36" s="4"/>
      <c r="J36" s="4"/>
      <c r="K36" s="72">
        <f>Average!M43</f>
        <v>4.8</v>
      </c>
    </row>
    <row r="37" spans="1:11" ht="15.75" thickBot="1" x14ac:dyDescent="0.3">
      <c r="A37" s="19" t="s">
        <v>14</v>
      </c>
      <c r="B37" s="26">
        <v>7.4999999999999997E-2</v>
      </c>
      <c r="C37" s="9">
        <v>7</v>
      </c>
      <c r="D37" s="10"/>
      <c r="E37" s="10"/>
      <c r="F37" s="10"/>
      <c r="G37" s="10"/>
      <c r="H37" s="10"/>
      <c r="I37" s="10"/>
      <c r="J37" s="10"/>
      <c r="K37" s="72">
        <f>Average!M44</f>
        <v>2.1</v>
      </c>
    </row>
    <row r="38" spans="1:11" ht="15.75" thickTop="1" x14ac:dyDescent="0.25">
      <c r="A38" s="124" t="s">
        <v>11</v>
      </c>
      <c r="B38" s="125"/>
      <c r="C38" s="128">
        <v>30</v>
      </c>
      <c r="D38" s="128">
        <v>10</v>
      </c>
      <c r="E38" s="128">
        <v>0</v>
      </c>
      <c r="F38" s="128">
        <v>0</v>
      </c>
      <c r="G38" s="128">
        <v>0</v>
      </c>
      <c r="H38" s="128">
        <v>35</v>
      </c>
      <c r="I38" s="128">
        <v>25</v>
      </c>
      <c r="J38" s="128"/>
      <c r="K38" s="130">
        <f>SUM(C38:J38)/100</f>
        <v>1</v>
      </c>
    </row>
    <row r="39" spans="1:11" ht="15.75" thickBot="1" x14ac:dyDescent="0.3">
      <c r="A39" s="126"/>
      <c r="B39" s="127"/>
      <c r="C39" s="129"/>
      <c r="D39" s="129"/>
      <c r="E39" s="129"/>
      <c r="F39" s="129"/>
      <c r="G39" s="129"/>
      <c r="H39" s="129"/>
      <c r="I39" s="129"/>
      <c r="J39" s="129"/>
      <c r="K39" s="131"/>
    </row>
    <row r="42" spans="1:11" x14ac:dyDescent="0.25">
      <c r="A42" s="132" t="s">
        <v>86</v>
      </c>
      <c r="B42" s="133"/>
      <c r="C42" s="133"/>
      <c r="D42" s="133"/>
      <c r="E42" s="133"/>
      <c r="F42" s="133"/>
      <c r="G42" s="133"/>
      <c r="H42" s="133"/>
      <c r="I42" s="133"/>
      <c r="J42" s="133"/>
      <c r="K42" s="133"/>
    </row>
    <row r="43" spans="1:11" x14ac:dyDescent="0.25">
      <c r="A43" s="133"/>
      <c r="B43" s="133"/>
      <c r="C43" s="133"/>
      <c r="D43" s="133"/>
      <c r="E43" s="133"/>
      <c r="F43" s="133"/>
      <c r="G43" s="133"/>
      <c r="H43" s="133"/>
      <c r="I43" s="133"/>
      <c r="J43" s="133"/>
      <c r="K43" s="133"/>
    </row>
    <row r="44" spans="1:11" x14ac:dyDescent="0.25">
      <c r="A44" s="105"/>
      <c r="B44" s="105"/>
      <c r="C44" s="105"/>
      <c r="D44" s="105"/>
      <c r="E44" s="105"/>
      <c r="F44" s="105"/>
      <c r="G44" s="105"/>
      <c r="H44" s="105"/>
      <c r="I44" s="105"/>
      <c r="J44" s="105"/>
      <c r="K44" s="105"/>
    </row>
    <row r="45" spans="1:11" x14ac:dyDescent="0.25">
      <c r="A45" s="101" t="s">
        <v>81</v>
      </c>
      <c r="B45" s="102"/>
      <c r="C45" s="53"/>
      <c r="D45" s="53"/>
      <c r="E45" s="53"/>
      <c r="F45" s="53"/>
      <c r="G45" s="53"/>
      <c r="H45" s="53"/>
      <c r="I45" s="60"/>
    </row>
    <row r="46" spans="1:11" x14ac:dyDescent="0.25">
      <c r="A46" s="53" t="s">
        <v>82</v>
      </c>
      <c r="B46" s="53"/>
      <c r="D46" s="53"/>
      <c r="E46" s="53"/>
      <c r="F46" s="102"/>
      <c r="G46" s="53"/>
      <c r="H46" s="53"/>
      <c r="I46" s="60"/>
    </row>
    <row r="47" spans="1:11" x14ac:dyDescent="0.25">
      <c r="A47" s="53"/>
      <c r="B47" s="53" t="s">
        <v>83</v>
      </c>
      <c r="D47" s="53"/>
      <c r="E47" s="53"/>
      <c r="F47" s="102"/>
      <c r="G47" s="53"/>
      <c r="H47" s="53"/>
      <c r="I47" s="104"/>
    </row>
    <row r="48" spans="1:11" x14ac:dyDescent="0.25">
      <c r="A48" s="53"/>
      <c r="B48" s="53"/>
      <c r="D48" s="53"/>
      <c r="E48" s="53"/>
      <c r="F48" s="102"/>
      <c r="G48" s="53"/>
      <c r="H48" s="53"/>
      <c r="I48" s="104"/>
    </row>
    <row r="49" spans="1:10" x14ac:dyDescent="0.25">
      <c r="A49" s="75" t="s">
        <v>66</v>
      </c>
      <c r="B49"/>
      <c r="C49"/>
      <c r="D49"/>
      <c r="E49"/>
      <c r="F49"/>
    </row>
    <row r="50" spans="1:10" ht="18" x14ac:dyDescent="0.35">
      <c r="A50" s="75" t="s">
        <v>67</v>
      </c>
      <c r="B50"/>
      <c r="C50"/>
      <c r="D50"/>
      <c r="E50"/>
      <c r="F50"/>
    </row>
    <row r="51" spans="1:10" x14ac:dyDescent="0.25">
      <c r="A51" s="75" t="s">
        <v>68</v>
      </c>
      <c r="B51"/>
      <c r="C51"/>
      <c r="D51"/>
      <c r="E51"/>
      <c r="F51"/>
    </row>
    <row r="52" spans="1:10" x14ac:dyDescent="0.25">
      <c r="A52" s="75" t="s">
        <v>69</v>
      </c>
      <c r="B52"/>
      <c r="C52"/>
      <c r="D52"/>
      <c r="E52"/>
      <c r="F52"/>
    </row>
    <row r="53" spans="1:10" x14ac:dyDescent="0.25">
      <c r="A53" s="75" t="s">
        <v>70</v>
      </c>
      <c r="B53"/>
      <c r="C53"/>
      <c r="D53"/>
      <c r="E53"/>
      <c r="F53"/>
    </row>
    <row r="54" spans="1:10" x14ac:dyDescent="0.25">
      <c r="A54" s="76"/>
      <c r="B54"/>
      <c r="C54"/>
      <c r="D54"/>
      <c r="E54"/>
      <c r="F54"/>
    </row>
    <row r="55" spans="1:10" ht="18.75" x14ac:dyDescent="0.35">
      <c r="A55" s="76" t="s">
        <v>39</v>
      </c>
      <c r="B55" s="77">
        <v>165</v>
      </c>
      <c r="C55" t="s">
        <v>40</v>
      </c>
      <c r="D55"/>
      <c r="E55"/>
      <c r="F55"/>
    </row>
    <row r="56" spans="1:10" ht="17.25" x14ac:dyDescent="0.25">
      <c r="A56" s="76" t="s">
        <v>41</v>
      </c>
      <c r="B56" s="77">
        <v>62.4</v>
      </c>
      <c r="C56" t="s">
        <v>42</v>
      </c>
      <c r="D56"/>
      <c r="E56"/>
      <c r="F56"/>
    </row>
    <row r="57" spans="1:10" ht="18" x14ac:dyDescent="0.35">
      <c r="A57" s="76" t="s">
        <v>43</v>
      </c>
      <c r="B57" s="77">
        <v>5.3999999999999999E-2</v>
      </c>
      <c r="C57" t="s">
        <v>44</v>
      </c>
      <c r="D57"/>
      <c r="E57"/>
      <c r="F57"/>
    </row>
    <row r="58" spans="1:10" x14ac:dyDescent="0.25">
      <c r="A58" s="78"/>
      <c r="B58"/>
      <c r="C58"/>
      <c r="D58"/>
      <c r="E58"/>
      <c r="F58"/>
    </row>
    <row r="59" spans="1:10" ht="15.75" thickBot="1" x14ac:dyDescent="0.3"/>
    <row r="60" spans="1:10" ht="15.75" thickBot="1" x14ac:dyDescent="0.3">
      <c r="E60" s="134" t="s">
        <v>85</v>
      </c>
      <c r="F60" s="135"/>
      <c r="G60" s="135"/>
      <c r="H60" s="135"/>
      <c r="I60" s="135"/>
      <c r="J60" s="136"/>
    </row>
    <row r="61" spans="1:10" ht="27" customHeight="1" thickTop="1" x14ac:dyDescent="0.25">
      <c r="A61" s="115" t="s">
        <v>15</v>
      </c>
      <c r="B61" s="116"/>
      <c r="C61" s="122" t="s">
        <v>8</v>
      </c>
      <c r="D61" s="137" t="s">
        <v>45</v>
      </c>
      <c r="E61" s="109" t="s">
        <v>87</v>
      </c>
      <c r="F61" s="110" t="s">
        <v>88</v>
      </c>
      <c r="G61" s="110" t="s">
        <v>89</v>
      </c>
      <c r="H61" s="110" t="s">
        <v>90</v>
      </c>
      <c r="I61" s="110" t="s">
        <v>91</v>
      </c>
      <c r="J61" s="111" t="s">
        <v>92</v>
      </c>
    </row>
    <row r="62" spans="1:10" ht="15.75" thickBot="1" x14ac:dyDescent="0.3">
      <c r="A62" s="20" t="s">
        <v>16</v>
      </c>
      <c r="B62" s="21" t="s">
        <v>17</v>
      </c>
      <c r="C62" s="123"/>
      <c r="D62" s="137"/>
      <c r="E62" s="106">
        <v>1.2</v>
      </c>
      <c r="F62" s="107">
        <v>1.67</v>
      </c>
      <c r="G62" s="107">
        <v>1.86</v>
      </c>
      <c r="H62" s="107">
        <v>2.04</v>
      </c>
      <c r="I62" s="107">
        <v>2.2000000000000002</v>
      </c>
      <c r="J62" s="108">
        <v>2.78</v>
      </c>
    </row>
    <row r="63" spans="1:10" ht="15.75" thickTop="1" x14ac:dyDescent="0.25">
      <c r="A63" s="16">
        <v>36</v>
      </c>
      <c r="B63" s="25">
        <f t="shared" ref="B63:B69" si="6">A63*25.4</f>
        <v>914.4</v>
      </c>
      <c r="C63" s="72">
        <f>K17</f>
        <v>100</v>
      </c>
      <c r="D63" s="82">
        <f>Average!N24</f>
        <v>2.961446511180061</v>
      </c>
      <c r="E63" t="str">
        <f>Average!O24</f>
        <v>No Motion</v>
      </c>
      <c r="F63" t="str">
        <f>Average!Q24</f>
        <v>No Motion</v>
      </c>
      <c r="G63" t="str">
        <f>Average!R24</f>
        <v>No Motion</v>
      </c>
      <c r="H63" t="str">
        <f>Average!S24</f>
        <v>No Motion</v>
      </c>
      <c r="I63" t="str">
        <f>Average!T24</f>
        <v>No Motion</v>
      </c>
      <c r="J63" t="str">
        <f>Average!U24</f>
        <v>No Motion</v>
      </c>
    </row>
    <row r="64" spans="1:10" x14ac:dyDescent="0.25">
      <c r="A64" s="16">
        <v>32</v>
      </c>
      <c r="B64" s="25">
        <f t="shared" si="6"/>
        <v>812.8</v>
      </c>
      <c r="C64" s="72">
        <f t="shared" ref="C64:C83" si="7">K18</f>
        <v>100</v>
      </c>
      <c r="D64" s="82">
        <f>Average!N25</f>
        <v>2.8586312446328419</v>
      </c>
      <c r="E64" t="str">
        <f>Average!O25</f>
        <v>No Motion</v>
      </c>
      <c r="F64" t="str">
        <f>Average!Q25</f>
        <v>No Motion</v>
      </c>
      <c r="G64" t="str">
        <f>Average!R25</f>
        <v>No Motion</v>
      </c>
      <c r="H64" t="str">
        <f>Average!S25</f>
        <v>No Motion</v>
      </c>
      <c r="I64" t="str">
        <f>Average!T25</f>
        <v>No Motion</v>
      </c>
      <c r="J64" t="str">
        <f>Average!U25</f>
        <v>No Motion</v>
      </c>
    </row>
    <row r="65" spans="1:10" x14ac:dyDescent="0.25">
      <c r="A65" s="16">
        <v>28</v>
      </c>
      <c r="B65" s="25">
        <f t="shared" si="6"/>
        <v>711.19999999999993</v>
      </c>
      <c r="C65" s="72">
        <f t="shared" si="7"/>
        <v>100</v>
      </c>
      <c r="D65" s="82">
        <f>Average!N26</f>
        <v>2.7463795216315727</v>
      </c>
      <c r="E65" t="str">
        <f>Average!O26</f>
        <v>No Motion</v>
      </c>
      <c r="F65" t="str">
        <f>Average!Q26</f>
        <v>No Motion</v>
      </c>
      <c r="G65" t="str">
        <f>Average!R26</f>
        <v>No Motion</v>
      </c>
      <c r="H65" t="str">
        <f>Average!S26</f>
        <v>No Motion</v>
      </c>
      <c r="I65" t="str">
        <f>Average!T26</f>
        <v>No Motion</v>
      </c>
      <c r="J65" t="str">
        <f>Average!U26</f>
        <v>Motion</v>
      </c>
    </row>
    <row r="66" spans="1:10" x14ac:dyDescent="0.25">
      <c r="A66" s="16">
        <v>23</v>
      </c>
      <c r="B66" s="25">
        <f t="shared" si="6"/>
        <v>584.19999999999993</v>
      </c>
      <c r="C66" s="72">
        <f t="shared" si="7"/>
        <v>100</v>
      </c>
      <c r="D66" s="82">
        <f>Average!N27</f>
        <v>2.5889966799973112</v>
      </c>
      <c r="E66" t="str">
        <f>Average!O27</f>
        <v>No Motion</v>
      </c>
      <c r="F66" t="str">
        <f>Average!Q27</f>
        <v>No Motion</v>
      </c>
      <c r="G66" t="str">
        <f>Average!R27</f>
        <v>No Motion</v>
      </c>
      <c r="H66" t="str">
        <f>Average!S27</f>
        <v>No Motion</v>
      </c>
      <c r="I66" t="str">
        <f>Average!T27</f>
        <v>No Motion</v>
      </c>
      <c r="J66" t="str">
        <f>Average!U27</f>
        <v>Motion</v>
      </c>
    </row>
    <row r="67" spans="1:10" x14ac:dyDescent="0.25">
      <c r="A67" s="16">
        <v>18</v>
      </c>
      <c r="B67" s="25">
        <f t="shared" si="6"/>
        <v>457.2</v>
      </c>
      <c r="C67" s="72">
        <f t="shared" si="7"/>
        <v>100</v>
      </c>
      <c r="D67" s="82">
        <f>Average!N28</f>
        <v>2.4054420253868178</v>
      </c>
      <c r="E67" t="str">
        <f>Average!O28</f>
        <v>No Motion</v>
      </c>
      <c r="F67" t="str">
        <f>Average!Q28</f>
        <v>No Motion</v>
      </c>
      <c r="G67" t="str">
        <f>Average!R28</f>
        <v>No Motion</v>
      </c>
      <c r="H67" t="str">
        <f>Average!S28</f>
        <v>No Motion</v>
      </c>
      <c r="I67" t="str">
        <f>Average!T28</f>
        <v>No Motion</v>
      </c>
      <c r="J67" t="str">
        <f>Average!U28</f>
        <v>Motion</v>
      </c>
    </row>
    <row r="68" spans="1:10" x14ac:dyDescent="0.25">
      <c r="A68" s="16">
        <v>15</v>
      </c>
      <c r="B68" s="25">
        <f t="shared" si="6"/>
        <v>381</v>
      </c>
      <c r="C68" s="72">
        <f t="shared" si="7"/>
        <v>87.5</v>
      </c>
      <c r="D68" s="82">
        <f>Average!N29</f>
        <v>2.277406314274915</v>
      </c>
      <c r="E68" t="str">
        <f>Average!O29</f>
        <v>No Motion</v>
      </c>
      <c r="F68" t="str">
        <f>Average!Q29</f>
        <v>No Motion</v>
      </c>
      <c r="G68" t="str">
        <f>Average!R29</f>
        <v>No Motion</v>
      </c>
      <c r="H68" t="str">
        <f>Average!S29</f>
        <v>No Motion</v>
      </c>
      <c r="I68" t="str">
        <f>Average!T29</f>
        <v>No Motion</v>
      </c>
      <c r="J68" t="str">
        <f>Average!U29</f>
        <v>Motion</v>
      </c>
    </row>
    <row r="69" spans="1:10" x14ac:dyDescent="0.25">
      <c r="A69" s="16">
        <v>12</v>
      </c>
      <c r="B69" s="25">
        <f t="shared" si="6"/>
        <v>304.79999999999995</v>
      </c>
      <c r="C69" s="72">
        <f t="shared" si="7"/>
        <v>75</v>
      </c>
      <c r="D69" s="82">
        <f>Average!N30</f>
        <v>2.1299407204870509</v>
      </c>
      <c r="E69" t="str">
        <f>Average!O30</f>
        <v>No Motion</v>
      </c>
      <c r="F69" t="str">
        <f>Average!Q30</f>
        <v>No Motion</v>
      </c>
      <c r="G69" t="str">
        <f>Average!R30</f>
        <v>No Motion</v>
      </c>
      <c r="H69" t="str">
        <f>Average!S30</f>
        <v>No Motion</v>
      </c>
      <c r="I69" t="str">
        <f>Average!T30</f>
        <v>Motion</v>
      </c>
      <c r="J69" t="str">
        <f>Average!U30</f>
        <v>Motion</v>
      </c>
    </row>
    <row r="70" spans="1:10" x14ac:dyDescent="0.25">
      <c r="A70" s="16">
        <v>10</v>
      </c>
      <c r="B70" s="25">
        <f>A70*25.4</f>
        <v>254</v>
      </c>
      <c r="C70" s="72">
        <f t="shared" si="7"/>
        <v>68</v>
      </c>
      <c r="D70" s="82">
        <f>Average!N31</f>
        <v>2.0165692603164804</v>
      </c>
      <c r="E70" t="str">
        <f>Average!O31</f>
        <v>No Motion</v>
      </c>
      <c r="F70" t="str">
        <f>Average!Q31</f>
        <v>No Motion</v>
      </c>
      <c r="G70" t="str">
        <f>Average!R31</f>
        <v>No Motion</v>
      </c>
      <c r="H70" t="str">
        <f>Average!S31</f>
        <v>Motion</v>
      </c>
      <c r="I70" t="str">
        <f>Average!T31</f>
        <v>Motion</v>
      </c>
      <c r="J70" t="str">
        <f>Average!U31</f>
        <v>Motion</v>
      </c>
    </row>
    <row r="71" spans="1:10" x14ac:dyDescent="0.25">
      <c r="A71" s="16">
        <v>8</v>
      </c>
      <c r="B71" s="25">
        <f t="shared" ref="B71:B80" si="8">A71*25.4</f>
        <v>203.2</v>
      </c>
      <c r="C71" s="72">
        <f t="shared" si="7"/>
        <v>63.916666666666657</v>
      </c>
      <c r="D71" s="82">
        <f>Average!N32</f>
        <v>1.8859932706377998</v>
      </c>
      <c r="E71" t="str">
        <f>Average!O32</f>
        <v>No Motion</v>
      </c>
      <c r="F71" t="str">
        <f>Average!Q32</f>
        <v>No Motion</v>
      </c>
      <c r="G71" t="str">
        <f>Average!R32</f>
        <v>No Motion</v>
      </c>
      <c r="H71" t="str">
        <f>Average!S32</f>
        <v>Motion</v>
      </c>
      <c r="I71" t="str">
        <f>Average!T32</f>
        <v>Motion</v>
      </c>
      <c r="J71" t="str">
        <f>Average!U32</f>
        <v>Motion</v>
      </c>
    </row>
    <row r="72" spans="1:10" x14ac:dyDescent="0.25">
      <c r="A72" s="16">
        <v>6</v>
      </c>
      <c r="B72" s="25">
        <f t="shared" si="8"/>
        <v>152.39999999999998</v>
      </c>
      <c r="C72" s="72">
        <f t="shared" si="7"/>
        <v>59.833333333333329</v>
      </c>
      <c r="D72" s="82">
        <f>Average!N33</f>
        <v>1.7300494543123337</v>
      </c>
      <c r="E72" t="str">
        <f>Average!O33</f>
        <v>No Motion</v>
      </c>
      <c r="F72" t="str">
        <f>Average!Q33</f>
        <v>No Motion</v>
      </c>
      <c r="G72" t="str">
        <f>Average!R33</f>
        <v>Motion</v>
      </c>
      <c r="H72" t="str">
        <f>Average!S33</f>
        <v>Motion</v>
      </c>
      <c r="I72" t="str">
        <f>Average!T33</f>
        <v>Motion</v>
      </c>
      <c r="J72" t="str">
        <f>Average!U33</f>
        <v>Motion</v>
      </c>
    </row>
    <row r="73" spans="1:10" x14ac:dyDescent="0.25">
      <c r="A73" s="16">
        <v>5</v>
      </c>
      <c r="B73" s="25">
        <f t="shared" si="8"/>
        <v>127</v>
      </c>
      <c r="C73" s="72">
        <f t="shared" si="7"/>
        <v>55.75</v>
      </c>
      <c r="D73" s="82">
        <f>Average!N34</f>
        <v>1.6379632141103824</v>
      </c>
      <c r="E73" t="str">
        <f>Average!O34</f>
        <v>No Motion</v>
      </c>
      <c r="F73" t="str">
        <f>Average!Q34</f>
        <v>Motion</v>
      </c>
      <c r="G73" t="str">
        <f>Average!R34</f>
        <v>Motion</v>
      </c>
      <c r="H73" t="str">
        <f>Average!S34</f>
        <v>Motion</v>
      </c>
      <c r="I73" t="str">
        <f>Average!T34</f>
        <v>Motion</v>
      </c>
      <c r="J73" t="str">
        <f>Average!U34</f>
        <v>Motion</v>
      </c>
    </row>
    <row r="74" spans="1:10" x14ac:dyDescent="0.25">
      <c r="A74" s="16">
        <v>4</v>
      </c>
      <c r="B74" s="25">
        <f t="shared" si="8"/>
        <v>101.6</v>
      </c>
      <c r="C74" s="72">
        <f t="shared" si="7"/>
        <v>53.75</v>
      </c>
      <c r="D74" s="82">
        <f>Average!N35</f>
        <v>1.531902553587287</v>
      </c>
      <c r="E74" t="str">
        <f>Average!O35</f>
        <v>No Motion</v>
      </c>
      <c r="F74" t="str">
        <f>Average!Q35</f>
        <v>Motion</v>
      </c>
      <c r="G74" t="str">
        <f>Average!R35</f>
        <v>Motion</v>
      </c>
      <c r="H74" t="str">
        <f>Average!S35</f>
        <v>Motion</v>
      </c>
      <c r="I74" t="str">
        <f>Average!T35</f>
        <v>Motion</v>
      </c>
      <c r="J74" t="str">
        <f>Average!U35</f>
        <v>Motion</v>
      </c>
    </row>
    <row r="75" spans="1:10" x14ac:dyDescent="0.25">
      <c r="A75" s="16">
        <v>3</v>
      </c>
      <c r="B75" s="23">
        <f t="shared" si="8"/>
        <v>76.199999999999989</v>
      </c>
      <c r="C75" s="72">
        <f t="shared" si="7"/>
        <v>49.75</v>
      </c>
      <c r="D75" s="82">
        <f>Average!N36</f>
        <v>1.405236815079991</v>
      </c>
      <c r="E75" t="str">
        <f>Average!O36</f>
        <v>No Motion</v>
      </c>
      <c r="F75" t="str">
        <f>Average!Q36</f>
        <v>Motion</v>
      </c>
      <c r="G75" t="str">
        <f>Average!R36</f>
        <v>Motion</v>
      </c>
      <c r="H75" t="str">
        <f>Average!S36</f>
        <v>Motion</v>
      </c>
      <c r="I75" t="str">
        <f>Average!T36</f>
        <v>Motion</v>
      </c>
      <c r="J75" t="str">
        <f>Average!U36</f>
        <v>Motion</v>
      </c>
    </row>
    <row r="76" spans="1:10" x14ac:dyDescent="0.25">
      <c r="A76" s="16">
        <v>2.5</v>
      </c>
      <c r="B76" s="23">
        <f t="shared" si="8"/>
        <v>63.5</v>
      </c>
      <c r="C76" s="72">
        <f t="shared" si="7"/>
        <v>46.25</v>
      </c>
      <c r="D76" s="82">
        <f>Average!N37</f>
        <v>1.3304395458045197</v>
      </c>
      <c r="E76" t="str">
        <f>Average!O37</f>
        <v>No Motion</v>
      </c>
      <c r="F76" t="str">
        <f>Average!Q37</f>
        <v>Motion</v>
      </c>
      <c r="G76" t="str">
        <f>Average!R37</f>
        <v>Motion</v>
      </c>
      <c r="H76" t="str">
        <f>Average!S37</f>
        <v>Motion</v>
      </c>
      <c r="I76" t="str">
        <f>Average!T37</f>
        <v>Motion</v>
      </c>
      <c r="J76" t="str">
        <f>Average!U37</f>
        <v>Motion</v>
      </c>
    </row>
    <row r="77" spans="1:10" x14ac:dyDescent="0.25">
      <c r="A77" s="16">
        <v>2</v>
      </c>
      <c r="B77" s="23">
        <f t="shared" si="8"/>
        <v>50.8</v>
      </c>
      <c r="C77" s="72">
        <f t="shared" si="7"/>
        <v>36.75</v>
      </c>
      <c r="D77" s="82">
        <f>Average!N38</f>
        <v>1.2442915201355105</v>
      </c>
      <c r="E77" t="str">
        <f>Average!O38</f>
        <v>No Motion</v>
      </c>
      <c r="F77" t="str">
        <f>Average!Q38</f>
        <v>Motion</v>
      </c>
      <c r="G77" t="str">
        <f>Average!R38</f>
        <v>Motion</v>
      </c>
      <c r="H77" t="str">
        <f>Average!S38</f>
        <v>Motion</v>
      </c>
      <c r="I77" t="str">
        <f>Average!T38</f>
        <v>Motion</v>
      </c>
      <c r="J77" t="str">
        <f>Average!U38</f>
        <v>Motion</v>
      </c>
    </row>
    <row r="78" spans="1:10" x14ac:dyDescent="0.25">
      <c r="A78" s="16">
        <v>1.5</v>
      </c>
      <c r="B78" s="23">
        <f t="shared" si="8"/>
        <v>38.099999999999994</v>
      </c>
      <c r="C78" s="72">
        <f t="shared" si="7"/>
        <v>31</v>
      </c>
      <c r="D78" s="82">
        <f>Average!N39</f>
        <v>1.1414069704967267</v>
      </c>
      <c r="E78" t="str">
        <f>Average!O39</f>
        <v>Motion</v>
      </c>
      <c r="F78" t="str">
        <f>Average!Q39</f>
        <v>Motion</v>
      </c>
      <c r="G78" t="str">
        <f>Average!R39</f>
        <v>Motion</v>
      </c>
      <c r="H78" t="str">
        <f>Average!S39</f>
        <v>Motion</v>
      </c>
      <c r="I78" t="str">
        <f>Average!T39</f>
        <v>Motion</v>
      </c>
      <c r="J78" t="str">
        <f>Average!U39</f>
        <v>Motion</v>
      </c>
    </row>
    <row r="79" spans="1:10" x14ac:dyDescent="0.25">
      <c r="A79" s="16">
        <v>1</v>
      </c>
      <c r="B79" s="23">
        <f t="shared" si="8"/>
        <v>25.4</v>
      </c>
      <c r="C79" s="72">
        <f t="shared" si="7"/>
        <v>25.25</v>
      </c>
      <c r="D79" s="82">
        <f>Average!N40</f>
        <v>1.0106787689958114</v>
      </c>
      <c r="E79" t="str">
        <f>Average!O40</f>
        <v>Motion</v>
      </c>
      <c r="F79" t="str">
        <f>Average!Q40</f>
        <v>Motion</v>
      </c>
      <c r="G79" t="str">
        <f>Average!R40</f>
        <v>Motion</v>
      </c>
      <c r="H79" t="str">
        <f>Average!S40</f>
        <v>Motion</v>
      </c>
      <c r="I79" t="str">
        <f>Average!T40</f>
        <v>Motion</v>
      </c>
      <c r="J79" t="str">
        <f>Average!U40</f>
        <v>Motion</v>
      </c>
    </row>
    <row r="80" spans="1:10" x14ac:dyDescent="0.25">
      <c r="A80" s="17">
        <v>0.75</v>
      </c>
      <c r="B80" s="23">
        <f t="shared" si="8"/>
        <v>19.049999999999997</v>
      </c>
      <c r="C80" s="72">
        <f t="shared" si="7"/>
        <v>17.25</v>
      </c>
      <c r="D80" s="82">
        <f>Average!N41</f>
        <v>0.92711054700367734</v>
      </c>
      <c r="E80" t="str">
        <f>Average!O41</f>
        <v>Motion</v>
      </c>
      <c r="F80" t="str">
        <f>Average!Q41</f>
        <v>Motion</v>
      </c>
      <c r="G80" t="str">
        <f>Average!R41</f>
        <v>Motion</v>
      </c>
      <c r="H80" t="str">
        <f>Average!S41</f>
        <v>Motion</v>
      </c>
      <c r="I80" t="str">
        <f>Average!T41</f>
        <v>Motion</v>
      </c>
      <c r="J80" t="str">
        <f>Average!U41</f>
        <v>Motion</v>
      </c>
    </row>
    <row r="81" spans="1:4" x14ac:dyDescent="0.25">
      <c r="A81" s="18" t="s">
        <v>18</v>
      </c>
      <c r="B81" s="15">
        <v>4.75</v>
      </c>
      <c r="C81" s="72">
        <f t="shared" si="7"/>
        <v>10.5</v>
      </c>
      <c r="D81" s="82">
        <f>Average!N42</f>
        <v>0</v>
      </c>
    </row>
    <row r="82" spans="1:4" x14ac:dyDescent="0.25">
      <c r="A82" s="18" t="s">
        <v>19</v>
      </c>
      <c r="B82" s="24">
        <v>0.42499999999999999</v>
      </c>
      <c r="C82" s="72">
        <f t="shared" si="7"/>
        <v>4.8</v>
      </c>
      <c r="D82" s="82">
        <f>Average!N43</f>
        <v>0</v>
      </c>
    </row>
    <row r="83" spans="1:4" ht="15.75" thickBot="1" x14ac:dyDescent="0.3">
      <c r="A83" s="19" t="s">
        <v>14</v>
      </c>
      <c r="B83" s="24">
        <v>7.4999999999999997E-2</v>
      </c>
      <c r="C83" s="72">
        <f t="shared" si="7"/>
        <v>2.1</v>
      </c>
      <c r="D83" s="82">
        <f>Average!N44</f>
        <v>0</v>
      </c>
    </row>
    <row r="84" spans="1:4" ht="15.75" thickTop="1" x14ac:dyDescent="0.25"/>
  </sheetData>
  <mergeCells count="22">
    <mergeCell ref="A61:B61"/>
    <mergeCell ref="C61:C62"/>
    <mergeCell ref="A42:K43"/>
    <mergeCell ref="E60:J60"/>
    <mergeCell ref="D61:D62"/>
    <mergeCell ref="K15:K16"/>
    <mergeCell ref="A38:B39"/>
    <mergeCell ref="C38:C39"/>
    <mergeCell ref="D38:D39"/>
    <mergeCell ref="E38:E39"/>
    <mergeCell ref="F38:F39"/>
    <mergeCell ref="G38:G39"/>
    <mergeCell ref="H38:H39"/>
    <mergeCell ref="I38:I39"/>
    <mergeCell ref="J38:J39"/>
    <mergeCell ref="K38:K39"/>
    <mergeCell ref="B13:H13"/>
    <mergeCell ref="B14:H14"/>
    <mergeCell ref="A15:B15"/>
    <mergeCell ref="D15:H15"/>
    <mergeCell ref="A1:C3"/>
    <mergeCell ref="F1:I3"/>
  </mergeCells>
  <conditionalFormatting sqref="K17:K37">
    <cfRule type="expression" dxfId="54" priority="31" stopIfTrue="1">
      <formula>OR(AND(#REF!&gt;=0.9,#REF!&lt;=1.1),AND(#REF!&gt;=0.9,#REF!&lt;=1.1),AND($M$53&gt;=0.9,$M$53&lt;=1.1),AND($N$53&gt;=0.9,$N$53&lt;=1.1))</formula>
    </cfRule>
  </conditionalFormatting>
  <conditionalFormatting sqref="A17:B17 B18:B37 A24 A18:A22 B64:B82 A70 A64:A68">
    <cfRule type="expression" dxfId="53" priority="32" stopIfTrue="1">
      <formula>OR(AND(#REF!&gt;=0.75,#REF!&lt;=0.9),AND(#REF!&gt;=0.75,#REF!&lt;=0.9),AND($M$53&gt;=0.75,$M$53&lt;=0.9),AND($N$53&gt;=0.75,$N$53&lt;=0.9))</formula>
    </cfRule>
  </conditionalFormatting>
  <conditionalFormatting sqref="A25 A23 A69">
    <cfRule type="expression" dxfId="52" priority="33" stopIfTrue="1">
      <formula>OR(AND(#REF!&gt;=0.58,#REF!&lt;0.75),AND(#REF!&gt;=0.58,#REF!&lt;=0.75),AND($M$53&gt;=0.58,$M$53&lt;=0.75),AND($N$53&gt;=0.58,$N$53&lt;=0.75))</formula>
    </cfRule>
  </conditionalFormatting>
  <conditionalFormatting sqref="A26">
    <cfRule type="expression" dxfId="51" priority="34" stopIfTrue="1">
      <formula>OR(AND(#REF!&lt;=0.58,#REF!&gt;=0.46),AND(#REF!&lt;=0.58,#REF!&gt;=0.46),AND($M$53&lt;=0.58,$M$53&gt;=0.46),AND($N$53&lt;=0.58,$N$53&gt;=0.46))</formula>
    </cfRule>
  </conditionalFormatting>
  <conditionalFormatting sqref="A27">
    <cfRule type="expression" dxfId="50" priority="35" stopIfTrue="1">
      <formula>OR(AND(#REF!&gt;=0.37,#REF!&lt;=0.46),AND(#REF!&gt;=0.37,#REF!&lt;=0.46),AND($M$53&gt;=0.37,$M$53&lt;=0.46),AND($N$53&gt;=0.37,$N$53&lt;=0.46))</formula>
    </cfRule>
  </conditionalFormatting>
  <conditionalFormatting sqref="A28">
    <cfRule type="expression" dxfId="49" priority="36" stopIfTrue="1">
      <formula>OR(AND(#REF!&gt;=0.29,#REF!&lt;=0.37),AND(#REF!&gt;=0.29,#REF!&lt;=0.37),AND($M$53&gt;=0.29,$M$53&lt;=0.37),AND($N$53&gt;=0.29,$N$53&lt;=0.37))</formula>
    </cfRule>
  </conditionalFormatting>
  <conditionalFormatting sqref="A29">
    <cfRule type="expression" dxfId="48" priority="37" stopIfTrue="1">
      <formula>OR(AND(#REF!&gt;=0.23,#REF!&lt;=0.29),AND(#REF!&gt;=0.23,#REF!&lt;=0.29),AND($M$53&gt;=0.23,$M$53&lt;=0.29),AND($N$53&gt;=0.23,$N$53&lt;=0.29))</formula>
    </cfRule>
  </conditionalFormatting>
  <conditionalFormatting sqref="A30">
    <cfRule type="expression" dxfId="47" priority="38" stopIfTrue="1">
      <formula>OR(AND(#REF!&gt;=0.19,#REF!&lt;=0.23),AND(#REF!&gt;=0.19,#REF!&lt;=0.23),AND($M$53&gt;=0.19,$M$53&lt;=0.23),AND($N$53&gt;=0.19,$N$53&lt;=0.23))</formula>
    </cfRule>
  </conditionalFormatting>
  <conditionalFormatting sqref="A31">
    <cfRule type="expression" dxfId="46" priority="39" stopIfTrue="1">
      <formula>OR(AND(#REF!&gt;=0.15,#REF!&lt;=0.19),AND(#REF!&gt;=0.15,#REF!&lt;=0.19),AND($M$53&gt;=0.15,$M$53&lt;=0.19),AND($N$53&gt;=0.15,$N$53&lt;=0.19))</formula>
    </cfRule>
  </conditionalFormatting>
  <conditionalFormatting sqref="A32">
    <cfRule type="expression" dxfId="45" priority="40" stopIfTrue="1">
      <formula>OR(AND(#REF!&gt;=0.1,#REF!&lt;=0.15),AND(#REF!&gt;=0.1,#REF!&lt;=0.15),AND($M$53&gt;=0.1,$M$53&lt;=0.15),AND($N$53&gt;=0.1,$N$53&lt;=0.15))</formula>
    </cfRule>
  </conditionalFormatting>
  <conditionalFormatting sqref="A33">
    <cfRule type="expression" dxfId="44" priority="41" stopIfTrue="1">
      <formula>OR(AND(#REF!&gt;=0.07,#REF!&lt;=0.11),AND(#REF!&gt;=0.07,#REF!&lt;=0.11),AND($M$53&gt;=0.07,$M$53&lt;=0.11),AND($N$53&gt;=0.07,$N$53&lt;=0.11))</formula>
    </cfRule>
  </conditionalFormatting>
  <conditionalFormatting sqref="A34">
    <cfRule type="expression" dxfId="43" priority="42" stopIfTrue="1">
      <formula>OR(AND(#REF!&gt;=0.04,#REF!&lt;=0.07),AND(#REF!&gt;=0.04,#REF!&lt;=0.07),AND($M$53&gt;=0.04,$M$53&lt;=0.07),AND($N$53&gt;=0.04,$N$53&lt;=0.07))</formula>
    </cfRule>
  </conditionalFormatting>
  <conditionalFormatting sqref="A35">
    <cfRule type="expression" dxfId="42" priority="43" stopIfTrue="1">
      <formula>OR(AND(#REF!&gt;=0.02,#REF!&lt;=0.04),AND(#REF!&gt;=0.02,#REF!&lt;=0.04),AND($M$53&gt;=0.02,$M$53&lt;=0.04),AND($N$53&gt;=0.02,$N$53&lt;=0.04))</formula>
    </cfRule>
  </conditionalFormatting>
  <conditionalFormatting sqref="A36">
    <cfRule type="expression" dxfId="41" priority="44" stopIfTrue="1">
      <formula>OR(AND(#REF!&gt;=0.004,#REF!&lt;=0.02),AND(#REF!&gt;=0.004,#REF!&lt;=0.02),AND($M$53&gt;=0.004,$M$53&lt;=0.02),AND($N$53&gt;=0.004,$N$53&lt;=0.02))</formula>
    </cfRule>
  </conditionalFormatting>
  <conditionalFormatting sqref="A63:B63">
    <cfRule type="expression" dxfId="40" priority="18" stopIfTrue="1">
      <formula>OR(AND(#REF!&gt;=0.75,#REF!&lt;=0.9),AND(#REF!&gt;=0.75,#REF!&lt;=0.9),AND($M$53&gt;=0.75,$M$53&lt;=0.9),AND($N$53&gt;=0.75,$N$53&lt;=0.9))</formula>
    </cfRule>
  </conditionalFormatting>
  <conditionalFormatting sqref="A71">
    <cfRule type="expression" dxfId="39" priority="19" stopIfTrue="1">
      <formula>OR(AND(#REF!&gt;=0.58,#REF!&lt;0.75),AND(#REF!&gt;=0.58,#REF!&lt;=0.75),AND($M$53&gt;=0.58,$M$53&lt;=0.75),AND($N$53&gt;=0.58,$N$53&lt;=0.75))</formula>
    </cfRule>
  </conditionalFormatting>
  <conditionalFormatting sqref="A72">
    <cfRule type="expression" dxfId="38" priority="20" stopIfTrue="1">
      <formula>OR(AND(#REF!&lt;=0.58,#REF!&gt;=0.46),AND(#REF!&lt;=0.58,#REF!&gt;=0.46),AND($M$53&lt;=0.58,$M$53&gt;=0.46),AND($N$53&lt;=0.58,$N$53&gt;=0.46))</formula>
    </cfRule>
  </conditionalFormatting>
  <conditionalFormatting sqref="A73">
    <cfRule type="expression" dxfId="37" priority="21" stopIfTrue="1">
      <formula>OR(AND(#REF!&gt;=0.37,#REF!&lt;=0.46),AND(#REF!&gt;=0.37,#REF!&lt;=0.46),AND($M$53&gt;=0.37,$M$53&lt;=0.46),AND($N$53&gt;=0.37,$N$53&lt;=0.46))</formula>
    </cfRule>
  </conditionalFormatting>
  <conditionalFormatting sqref="A74">
    <cfRule type="expression" dxfId="36" priority="22" stopIfTrue="1">
      <formula>OR(AND(#REF!&gt;=0.29,#REF!&lt;=0.37),AND(#REF!&gt;=0.29,#REF!&lt;=0.37),AND($M$53&gt;=0.29,$M$53&lt;=0.37),AND($N$53&gt;=0.29,$N$53&lt;=0.37))</formula>
    </cfRule>
  </conditionalFormatting>
  <conditionalFormatting sqref="A75">
    <cfRule type="expression" dxfId="35" priority="23" stopIfTrue="1">
      <formula>OR(AND(#REF!&gt;=0.23,#REF!&lt;=0.29),AND(#REF!&gt;=0.23,#REF!&lt;=0.29),AND($M$53&gt;=0.23,$M$53&lt;=0.29),AND($N$53&gt;=0.23,$N$53&lt;=0.29))</formula>
    </cfRule>
  </conditionalFormatting>
  <conditionalFormatting sqref="A76">
    <cfRule type="expression" dxfId="34" priority="24" stopIfTrue="1">
      <formula>OR(AND(#REF!&gt;=0.19,#REF!&lt;=0.23),AND(#REF!&gt;=0.19,#REF!&lt;=0.23),AND($M$53&gt;=0.19,$M$53&lt;=0.23),AND($N$53&gt;=0.19,$N$53&lt;=0.23))</formula>
    </cfRule>
  </conditionalFormatting>
  <conditionalFormatting sqref="A77">
    <cfRule type="expression" dxfId="33" priority="25" stopIfTrue="1">
      <formula>OR(AND(#REF!&gt;=0.15,#REF!&lt;=0.19),AND(#REF!&gt;=0.15,#REF!&lt;=0.19),AND($M$53&gt;=0.15,$M$53&lt;=0.19),AND($N$53&gt;=0.15,$N$53&lt;=0.19))</formula>
    </cfRule>
  </conditionalFormatting>
  <conditionalFormatting sqref="A78">
    <cfRule type="expression" dxfId="32" priority="26" stopIfTrue="1">
      <formula>OR(AND(#REF!&gt;=0.1,#REF!&lt;=0.15),AND(#REF!&gt;=0.1,#REF!&lt;=0.15),AND($M$53&gt;=0.1,$M$53&lt;=0.15),AND($N$53&gt;=0.1,$N$53&lt;=0.15))</formula>
    </cfRule>
  </conditionalFormatting>
  <conditionalFormatting sqref="A79">
    <cfRule type="expression" dxfId="31" priority="27" stopIfTrue="1">
      <formula>OR(AND(#REF!&gt;=0.07,#REF!&lt;=0.11),AND(#REF!&gt;=0.07,#REF!&lt;=0.11),AND($M$53&gt;=0.07,$M$53&lt;=0.11),AND($N$53&gt;=0.07,$N$53&lt;=0.11))</formula>
    </cfRule>
  </conditionalFormatting>
  <conditionalFormatting sqref="A80">
    <cfRule type="expression" dxfId="30" priority="28" stopIfTrue="1">
      <formula>OR(AND(#REF!&gt;=0.04,#REF!&lt;=0.07),AND(#REF!&gt;=0.04,#REF!&lt;=0.07),AND($M$53&gt;=0.04,$M$53&lt;=0.07),AND($N$53&gt;=0.04,$N$53&lt;=0.07))</formula>
    </cfRule>
  </conditionalFormatting>
  <conditionalFormatting sqref="A81">
    <cfRule type="expression" dxfId="29" priority="29" stopIfTrue="1">
      <formula>OR(AND(#REF!&gt;=0.02,#REF!&lt;=0.04),AND(#REF!&gt;=0.02,#REF!&lt;=0.04),AND($M$53&gt;=0.02,$M$53&lt;=0.04),AND($N$53&gt;=0.02,$N$53&lt;=0.04))</formula>
    </cfRule>
  </conditionalFormatting>
  <conditionalFormatting sqref="A82">
    <cfRule type="expression" dxfId="28" priority="30" stopIfTrue="1">
      <formula>OR(AND(#REF!&gt;=0.004,#REF!&lt;=0.02),AND(#REF!&gt;=0.004,#REF!&lt;=0.02),AND($M$53&gt;=0.004,$M$53&lt;=0.02),AND($N$53&gt;=0.004,$N$53&lt;=0.02))</formula>
    </cfRule>
  </conditionalFormatting>
  <conditionalFormatting sqref="C63:C83">
    <cfRule type="expression" dxfId="27" priority="4" stopIfTrue="1">
      <formula>OR(AND(#REF!&gt;=0.9,#REF!&lt;=1.1),AND(#REF!&gt;=0.9,#REF!&lt;=1.1),AND($M$53&gt;=0.9,$M$53&lt;=1.1),AND($N$53&gt;=0.9,$N$53&lt;=1.1))</formula>
    </cfRule>
  </conditionalFormatting>
  <conditionalFormatting sqref="B83">
    <cfRule type="expression" dxfId="26" priority="3" stopIfTrue="1">
      <formula>OR(AND(#REF!&gt;=0.75,#REF!&lt;=0.9),AND(#REF!&gt;=0.75,#REF!&lt;=0.9),AND($M$53&gt;=0.75,$M$53&lt;=0.9),AND($N$53&gt;=0.75,$N$53&lt;=0.9))</formula>
    </cfRule>
  </conditionalFormatting>
  <conditionalFormatting sqref="E63:J80">
    <cfRule type="cellIs" dxfId="25" priority="1" operator="equal">
      <formula>"No Motion"</formula>
    </cfRule>
    <cfRule type="cellIs" dxfId="24" priority="2" operator="equal">
      <formula>"Motion"</formula>
    </cfRule>
  </conditionalFormatting>
  <dataValidations disablePrompts="1" count="9">
    <dataValidation type="whole" operator="greaterThanOrEqual" allowBlank="1" showInputMessage="1" showErrorMessage="1" promptTitle="Instructions:" prompt="Enter this column's percentage of the total desired mix. _x000a__x000a_(The total of all the percentages must equal 100% as shown in the far right column.))" sqref="C38:J39" xr:uid="{00000000-0002-0000-0000-000000000000}">
      <formula1>0</formula1>
    </dataValidation>
    <dataValidation type="whole" allowBlank="1" showInputMessage="1" showErrorMessage="1" promptTitle="Instructions:" prompt="Enter a number between 40 and 70._x000a_    (70 max.)" sqref="I25:J25" xr:uid="{00000000-0002-0000-0000-000001000000}">
      <formula1>40</formula1>
      <formula2>70</formula2>
    </dataValidation>
    <dataValidation type="whole" allowBlank="1" showInputMessage="1" showErrorMessage="1" promptTitle="Instructions:" prompt="Enter a number between 10 and 40._x000a_    (40 max.)" sqref="I27:J27" xr:uid="{00000000-0002-0000-0000-000002000000}">
      <formula1>10</formula1>
      <formula2>40</formula2>
    </dataValidation>
    <dataValidation type="whole" allowBlank="1" showInputMessage="1" showErrorMessage="1" promptTitle="Instructions:" prompt="Enter a number between 0 and 10._x000a_    (10 max.)" sqref="D34:J34" xr:uid="{00000000-0002-0000-0000-000003000000}">
      <formula1>1</formula1>
      <formula2>10</formula2>
    </dataValidation>
    <dataValidation type="whole" allowBlank="1" showInputMessage="1" showErrorMessage="1" promptTitle="Instructions:" prompt="Enter a number between 5 and 16._x000a_     (16 max.)" sqref="C36" xr:uid="{00000000-0002-0000-0000-000004000000}">
      <formula1>5</formula1>
      <formula2>16</formula2>
    </dataValidation>
    <dataValidation type="decimal" allowBlank="1" showInputMessage="1" showErrorMessage="1" promptTitle="Instructions:" prompt="Enter a number between 5 and 9._x000a_     (9 max.)" sqref="C37" xr:uid="{00000000-0002-0000-0000-000005000000}">
      <formula1>5</formula1>
      <formula2>9</formula2>
    </dataValidation>
    <dataValidation type="whole" allowBlank="1" showInputMessage="1" showErrorMessage="1" promptTitle="Instructions:" prompt="Enter a number between 26 and 44.     (44 max.)" sqref="C35 D32" xr:uid="{00000000-0002-0000-0000-000006000000}">
      <formula1>26</formula1>
      <formula2>44</formula2>
    </dataValidation>
    <dataValidation type="whole" allowBlank="1" showInputMessage="1" showErrorMessage="1" promptTitle="Instructions:" prompt="Enter a number between 50 and 80.    (80 max.)" sqref="C33" xr:uid="{00000000-0002-0000-0000-000007000000}">
      <formula1>50</formula1>
      <formula2>80</formula2>
    </dataValidation>
    <dataValidation type="whole" allowBlank="1" showInputMessage="1" showErrorMessage="1" promptTitle="Instructions:" prompt="Enter a number between 65 and 95.   (95 max.)" sqref="C31" xr:uid="{00000000-0002-0000-0000-000008000000}">
      <formula1>65</formula1>
      <formula2>95</formula2>
    </dataValidation>
  </dataValidations>
  <pageMargins left="0.25" right="0.25" top="0.75" bottom="0.75" header="0.3" footer="0.3"/>
  <pageSetup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B1:W114"/>
  <sheetViews>
    <sheetView tabSelected="1" topLeftCell="A13" zoomScale="75" zoomScaleNormal="75" workbookViewId="0">
      <selection activeCell="O47" sqref="O47"/>
    </sheetView>
  </sheetViews>
  <sheetFormatPr defaultRowHeight="12.75" x14ac:dyDescent="0.2"/>
  <cols>
    <col min="1" max="1" width="4.42578125" customWidth="1"/>
    <col min="2" max="2" width="13.5703125" customWidth="1"/>
    <col min="3" max="3" width="10.7109375" customWidth="1"/>
    <col min="4" max="4" width="10.42578125" bestFit="1" customWidth="1"/>
    <col min="5" max="5" width="9.42578125" bestFit="1" customWidth="1"/>
    <col min="6" max="6" width="10.42578125" bestFit="1" customWidth="1"/>
    <col min="7" max="7" width="9.85546875" bestFit="1" customWidth="1"/>
    <col min="8" max="8" width="10.42578125" customWidth="1"/>
    <col min="9" max="9" width="10.28515625" customWidth="1"/>
    <col min="10" max="12" width="9.28515625" customWidth="1"/>
    <col min="14" max="14" width="34.28515625" customWidth="1"/>
    <col min="15" max="20" width="16.7109375" customWidth="1"/>
    <col min="24" max="24" width="3.85546875" customWidth="1"/>
    <col min="26" max="26" width="9.5703125" bestFit="1" customWidth="1"/>
  </cols>
  <sheetData>
    <row r="1" spans="2:21" ht="20.25" x14ac:dyDescent="0.3">
      <c r="B1" s="140" t="s">
        <v>31</v>
      </c>
      <c r="C1" s="141"/>
      <c r="D1" s="141"/>
      <c r="E1" s="141"/>
      <c r="F1" s="141"/>
      <c r="G1" s="141"/>
      <c r="H1" s="141"/>
    </row>
    <row r="2" spans="2:21" ht="13.5" thickBot="1" x14ac:dyDescent="0.25"/>
    <row r="3" spans="2:21" ht="13.5" thickBot="1" x14ac:dyDescent="0.25">
      <c r="B3" s="49" t="s">
        <v>33</v>
      </c>
      <c r="C3" s="142"/>
      <c r="D3" s="143"/>
      <c r="E3" s="143"/>
      <c r="F3" s="143"/>
      <c r="G3" s="143"/>
      <c r="H3" s="143"/>
    </row>
    <row r="4" spans="2:21" ht="18.75" thickBot="1" x14ac:dyDescent="0.25">
      <c r="B4" s="50" t="s">
        <v>34</v>
      </c>
      <c r="C4" s="144"/>
      <c r="D4" s="145"/>
      <c r="E4" s="145"/>
      <c r="F4" s="145"/>
      <c r="G4" s="145"/>
      <c r="H4" s="145"/>
      <c r="N4" s="153" t="s">
        <v>62</v>
      </c>
      <c r="O4" s="154"/>
      <c r="P4" s="154"/>
      <c r="Q4" s="154"/>
      <c r="R4" s="154"/>
      <c r="S4" s="154"/>
      <c r="T4" s="154"/>
      <c r="U4" s="155"/>
    </row>
    <row r="5" spans="2:21" ht="15.75" thickBot="1" x14ac:dyDescent="0.25">
      <c r="B5" s="43"/>
      <c r="C5" s="44"/>
      <c r="D5" s="44"/>
      <c r="N5" s="151" t="s">
        <v>71</v>
      </c>
      <c r="O5" s="114"/>
      <c r="P5" s="114"/>
      <c r="Q5" s="114"/>
      <c r="R5" s="114"/>
      <c r="S5" s="114"/>
      <c r="T5" s="114"/>
      <c r="U5" s="152"/>
    </row>
    <row r="6" spans="2:21" ht="15.75" x14ac:dyDescent="0.25">
      <c r="B6" s="146" t="s">
        <v>13</v>
      </c>
      <c r="C6" s="147"/>
      <c r="D6" s="147"/>
      <c r="E6" s="147"/>
      <c r="F6" s="148"/>
      <c r="H6" s="146" t="s">
        <v>13</v>
      </c>
      <c r="I6" s="147"/>
      <c r="J6" s="147"/>
      <c r="K6" s="147"/>
      <c r="L6" s="148"/>
      <c r="N6" s="73" t="s">
        <v>63</v>
      </c>
      <c r="U6" s="74"/>
    </row>
    <row r="7" spans="2:21" ht="15" x14ac:dyDescent="0.2">
      <c r="B7" s="45" t="s">
        <v>32</v>
      </c>
      <c r="C7" s="48" t="s">
        <v>56</v>
      </c>
      <c r="D7" s="46"/>
      <c r="E7" s="46"/>
      <c r="F7" s="47"/>
      <c r="H7" s="45" t="s">
        <v>32</v>
      </c>
      <c r="I7" s="48" t="s">
        <v>55</v>
      </c>
      <c r="J7" s="46"/>
      <c r="K7" s="46"/>
      <c r="L7" s="47"/>
      <c r="N7" s="75" t="s">
        <v>64</v>
      </c>
      <c r="U7" s="74"/>
    </row>
    <row r="8" spans="2:21" ht="19.5" thickBot="1" x14ac:dyDescent="0.4">
      <c r="B8" s="30"/>
      <c r="C8" s="31" t="s">
        <v>20</v>
      </c>
      <c r="D8" s="27" t="s">
        <v>21</v>
      </c>
      <c r="E8" s="27" t="s">
        <v>22</v>
      </c>
      <c r="F8" s="28" t="s">
        <v>23</v>
      </c>
      <c r="H8" s="30"/>
      <c r="I8" s="31" t="s">
        <v>20</v>
      </c>
      <c r="J8" s="27" t="s">
        <v>21</v>
      </c>
      <c r="K8" s="27" t="s">
        <v>22</v>
      </c>
      <c r="L8" s="28" t="s">
        <v>23</v>
      </c>
      <c r="N8" s="75" t="s">
        <v>65</v>
      </c>
      <c r="U8" s="74"/>
    </row>
    <row r="9" spans="2:21" ht="14.25" thickTop="1" thickBot="1" x14ac:dyDescent="0.25">
      <c r="B9" s="35" t="s">
        <v>0</v>
      </c>
      <c r="C9" s="41">
        <f>C10/12</f>
        <v>0</v>
      </c>
      <c r="D9" s="41">
        <f>D10/12</f>
        <v>0</v>
      </c>
      <c r="E9" s="41">
        <f>E10/12</f>
        <v>0</v>
      </c>
      <c r="F9" s="41">
        <f>F10/12</f>
        <v>0</v>
      </c>
      <c r="H9" s="35" t="s">
        <v>0</v>
      </c>
      <c r="I9" s="41">
        <f>I10/12</f>
        <v>0</v>
      </c>
      <c r="J9" s="41">
        <f>J10/12</f>
        <v>0</v>
      </c>
      <c r="K9" s="41">
        <f>K10/12</f>
        <v>0</v>
      </c>
      <c r="L9" s="58">
        <f>L10/12</f>
        <v>0</v>
      </c>
      <c r="N9" s="75"/>
      <c r="U9" s="74"/>
    </row>
    <row r="10" spans="2:21" x14ac:dyDescent="0.2">
      <c r="B10" s="36" t="s">
        <v>24</v>
      </c>
      <c r="C10" s="37"/>
      <c r="D10" s="38"/>
      <c r="E10" s="38"/>
      <c r="F10" s="39"/>
      <c r="H10" s="36" t="s">
        <v>24</v>
      </c>
      <c r="I10" s="37"/>
      <c r="J10" s="38"/>
      <c r="K10" s="38"/>
      <c r="L10" s="39"/>
      <c r="N10" s="75" t="s">
        <v>66</v>
      </c>
      <c r="U10" s="74"/>
    </row>
    <row r="11" spans="2:21" ht="18.75" thickBot="1" x14ac:dyDescent="0.4">
      <c r="B11" s="29" t="s">
        <v>25</v>
      </c>
      <c r="C11" s="40">
        <f>C10*25.4</f>
        <v>0</v>
      </c>
      <c r="D11" s="40">
        <f>D10*25.4</f>
        <v>0</v>
      </c>
      <c r="E11" s="42">
        <f>E10*25.4</f>
        <v>0</v>
      </c>
      <c r="F11" s="42">
        <f>F10*25.4</f>
        <v>0</v>
      </c>
      <c r="H11" s="29" t="s">
        <v>25</v>
      </c>
      <c r="I11" s="40">
        <f>I10*25.4</f>
        <v>0</v>
      </c>
      <c r="J11" s="40">
        <f>J10*25.4</f>
        <v>0</v>
      </c>
      <c r="K11" s="42">
        <f>K10*25.4</f>
        <v>0</v>
      </c>
      <c r="L11" s="59">
        <f>L10*25.4</f>
        <v>0</v>
      </c>
      <c r="N11" s="75" t="s">
        <v>67</v>
      </c>
      <c r="U11" s="74"/>
    </row>
    <row r="12" spans="2:21" ht="13.5" thickBot="1" x14ac:dyDescent="0.25">
      <c r="B12" s="44"/>
      <c r="C12" s="44"/>
      <c r="N12" s="75" t="s">
        <v>68</v>
      </c>
      <c r="U12" s="74"/>
    </row>
    <row r="13" spans="2:21" ht="15" x14ac:dyDescent="0.2">
      <c r="B13" s="146" t="s">
        <v>13</v>
      </c>
      <c r="C13" s="147"/>
      <c r="D13" s="147"/>
      <c r="E13" s="147"/>
      <c r="F13" s="148"/>
      <c r="H13" s="146" t="s">
        <v>13</v>
      </c>
      <c r="I13" s="147"/>
      <c r="J13" s="147"/>
      <c r="K13" s="147"/>
      <c r="L13" s="148"/>
      <c r="N13" s="75" t="s">
        <v>69</v>
      </c>
      <c r="U13" s="74"/>
    </row>
    <row r="14" spans="2:21" ht="15" x14ac:dyDescent="0.2">
      <c r="B14" s="45" t="s">
        <v>32</v>
      </c>
      <c r="C14" s="48" t="s">
        <v>58</v>
      </c>
      <c r="D14" s="46"/>
      <c r="E14" s="46"/>
      <c r="F14" s="47"/>
      <c r="H14" s="45" t="s">
        <v>32</v>
      </c>
      <c r="I14" s="48" t="s">
        <v>57</v>
      </c>
      <c r="J14" s="46"/>
      <c r="K14" s="46"/>
      <c r="L14" s="47"/>
      <c r="N14" s="75" t="s">
        <v>70</v>
      </c>
      <c r="U14" s="74"/>
    </row>
    <row r="15" spans="2:21" ht="19.5" thickBot="1" x14ac:dyDescent="0.4">
      <c r="B15" s="30"/>
      <c r="C15" s="31" t="s">
        <v>20</v>
      </c>
      <c r="D15" s="27" t="s">
        <v>21</v>
      </c>
      <c r="E15" s="27" t="s">
        <v>22</v>
      </c>
      <c r="F15" s="28" t="s">
        <v>23</v>
      </c>
      <c r="H15" s="30"/>
      <c r="I15" s="31" t="s">
        <v>20</v>
      </c>
      <c r="J15" s="27" t="s">
        <v>21</v>
      </c>
      <c r="K15" s="27" t="s">
        <v>22</v>
      </c>
      <c r="L15" s="28" t="s">
        <v>23</v>
      </c>
      <c r="N15" s="76"/>
      <c r="U15" s="74"/>
    </row>
    <row r="16" spans="2:21" ht="20.25" thickTop="1" thickBot="1" x14ac:dyDescent="0.4">
      <c r="B16" s="35" t="s">
        <v>0</v>
      </c>
      <c r="C16" s="41">
        <v>0.59</v>
      </c>
      <c r="D16" s="41">
        <v>0.28999999999999998</v>
      </c>
      <c r="E16" s="41">
        <v>0.16</v>
      </c>
      <c r="F16" s="41">
        <v>0.08</v>
      </c>
      <c r="H16" s="35" t="s">
        <v>0</v>
      </c>
      <c r="I16" s="41">
        <f>I17/12</f>
        <v>0</v>
      </c>
      <c r="J16" s="41">
        <f>J17/12</f>
        <v>0</v>
      </c>
      <c r="K16" s="41">
        <f>K17/12</f>
        <v>0</v>
      </c>
      <c r="L16" s="41">
        <f>L17/12</f>
        <v>0</v>
      </c>
      <c r="N16" s="76" t="s">
        <v>39</v>
      </c>
      <c r="O16" s="77">
        <v>165</v>
      </c>
      <c r="P16" t="s">
        <v>40</v>
      </c>
      <c r="U16" s="74"/>
    </row>
    <row r="17" spans="2:23" ht="17.25" x14ac:dyDescent="0.25">
      <c r="B17" s="36" t="s">
        <v>24</v>
      </c>
      <c r="C17" s="64"/>
      <c r="D17" s="64"/>
      <c r="E17" s="64"/>
      <c r="F17" s="64"/>
      <c r="H17" s="36" t="s">
        <v>24</v>
      </c>
      <c r="I17" s="37"/>
      <c r="J17" s="38"/>
      <c r="K17" s="38"/>
      <c r="L17" s="39"/>
      <c r="N17" s="76" t="s">
        <v>41</v>
      </c>
      <c r="O17" s="77">
        <v>62.4</v>
      </c>
      <c r="P17" t="s">
        <v>42</v>
      </c>
      <c r="U17" s="74"/>
    </row>
    <row r="18" spans="2:23" ht="18.75" thickBot="1" x14ac:dyDescent="0.4">
      <c r="B18" s="29" t="s">
        <v>25</v>
      </c>
      <c r="C18" s="40">
        <f>C17*25.4</f>
        <v>0</v>
      </c>
      <c r="D18" s="40">
        <f>D17*25.4</f>
        <v>0</v>
      </c>
      <c r="E18" s="42">
        <f>E17*25.4</f>
        <v>0</v>
      </c>
      <c r="F18" s="42">
        <f>F17*25.4</f>
        <v>0</v>
      </c>
      <c r="H18" s="29" t="s">
        <v>25</v>
      </c>
      <c r="I18" s="40">
        <f>I17*25.4</f>
        <v>0</v>
      </c>
      <c r="J18" s="40">
        <f>J17*25.4</f>
        <v>0</v>
      </c>
      <c r="K18" s="42">
        <f>K17*25.4</f>
        <v>0</v>
      </c>
      <c r="L18" s="42">
        <f>L17*25.4</f>
        <v>0</v>
      </c>
      <c r="N18" s="76" t="s">
        <v>43</v>
      </c>
      <c r="O18" s="77">
        <v>5.3999999999999999E-2</v>
      </c>
      <c r="P18" t="s">
        <v>44</v>
      </c>
      <c r="U18" s="74"/>
    </row>
    <row r="19" spans="2:23" ht="15" x14ac:dyDescent="0.2">
      <c r="B19" s="43"/>
      <c r="C19" s="44"/>
      <c r="D19" s="44"/>
      <c r="N19" s="78"/>
      <c r="U19" s="74"/>
    </row>
    <row r="20" spans="2:23" ht="15" customHeight="1" thickBot="1" x14ac:dyDescent="0.25">
      <c r="B20" s="22"/>
      <c r="C20" s="112" t="s">
        <v>9</v>
      </c>
      <c r="D20" s="113"/>
      <c r="E20" s="113"/>
      <c r="F20" s="113"/>
      <c r="G20" s="113"/>
      <c r="H20" s="113"/>
      <c r="I20" s="113"/>
      <c r="N20" s="78"/>
      <c r="U20" s="74"/>
    </row>
    <row r="21" spans="2:23" ht="15.75" thickBot="1" x14ac:dyDescent="0.3">
      <c r="C21" s="114" t="s">
        <v>10</v>
      </c>
      <c r="D21" s="113"/>
      <c r="E21" s="113"/>
      <c r="F21" s="113"/>
      <c r="G21" s="113"/>
      <c r="H21" s="113"/>
      <c r="I21" s="113"/>
      <c r="N21" s="76" t="s">
        <v>53</v>
      </c>
      <c r="O21" t="s">
        <v>46</v>
      </c>
      <c r="P21" s="65" t="s">
        <v>46</v>
      </c>
      <c r="Q21" t="s">
        <v>47</v>
      </c>
      <c r="R21" t="s">
        <v>48</v>
      </c>
      <c r="S21" t="s">
        <v>49</v>
      </c>
      <c r="T21" t="s">
        <v>50</v>
      </c>
      <c r="U21" s="74" t="s">
        <v>51</v>
      </c>
    </row>
    <row r="22" spans="2:23" ht="12.75" customHeight="1" thickTop="1" x14ac:dyDescent="0.2">
      <c r="B22" s="115" t="s">
        <v>15</v>
      </c>
      <c r="C22" s="116"/>
      <c r="D22" s="11" t="s">
        <v>2</v>
      </c>
      <c r="E22" s="117" t="s">
        <v>1</v>
      </c>
      <c r="F22" s="118"/>
      <c r="G22" s="118"/>
      <c r="H22" s="118"/>
      <c r="I22" s="119"/>
      <c r="J22" s="33"/>
      <c r="K22" s="34" t="s">
        <v>26</v>
      </c>
      <c r="L22" s="61"/>
      <c r="M22" s="122" t="s">
        <v>8</v>
      </c>
      <c r="N22" s="79" t="s">
        <v>54</v>
      </c>
      <c r="O22" s="68">
        <v>1.2</v>
      </c>
      <c r="P22" s="69">
        <v>1.6</v>
      </c>
      <c r="Q22" s="68">
        <v>1.67</v>
      </c>
      <c r="R22" s="68">
        <v>1.86</v>
      </c>
      <c r="S22" s="68">
        <v>2.04</v>
      </c>
      <c r="T22" s="68">
        <v>2.2000000000000002</v>
      </c>
      <c r="U22" s="80">
        <v>2.78</v>
      </c>
    </row>
    <row r="23" spans="2:23" ht="27" thickBot="1" x14ac:dyDescent="0.25">
      <c r="B23" s="20" t="s">
        <v>16</v>
      </c>
      <c r="C23" s="21" t="s">
        <v>17</v>
      </c>
      <c r="D23" s="12" t="s">
        <v>12</v>
      </c>
      <c r="E23" s="13" t="s">
        <v>7</v>
      </c>
      <c r="F23" s="13" t="s">
        <v>3</v>
      </c>
      <c r="G23" s="13" t="s">
        <v>4</v>
      </c>
      <c r="H23" s="13" t="s">
        <v>5</v>
      </c>
      <c r="I23" s="14" t="s">
        <v>6</v>
      </c>
      <c r="J23" s="32" t="s">
        <v>27</v>
      </c>
      <c r="K23" s="32" t="s">
        <v>28</v>
      </c>
      <c r="L23" s="32" t="s">
        <v>29</v>
      </c>
      <c r="M23" s="123"/>
      <c r="N23" s="81" t="s">
        <v>45</v>
      </c>
      <c r="P23" s="70" t="s">
        <v>59</v>
      </c>
      <c r="U23" s="74"/>
    </row>
    <row r="24" spans="2:23" ht="13.5" thickTop="1" x14ac:dyDescent="0.2">
      <c r="B24" s="16">
        <v>36</v>
      </c>
      <c r="C24" s="25">
        <f t="shared" ref="C24:C30" si="0">B24*25.4</f>
        <v>914.4</v>
      </c>
      <c r="D24" s="1">
        <v>100</v>
      </c>
      <c r="E24" s="2">
        <v>100</v>
      </c>
      <c r="F24" s="2">
        <v>100</v>
      </c>
      <c r="G24" s="2">
        <v>100</v>
      </c>
      <c r="H24" s="2">
        <v>100</v>
      </c>
      <c r="I24" s="2">
        <v>100</v>
      </c>
      <c r="J24" s="2">
        <v>100</v>
      </c>
      <c r="K24" s="2">
        <v>100</v>
      </c>
      <c r="L24" s="3">
        <v>100</v>
      </c>
      <c r="M24" s="72">
        <f>(D45*D24+E45*E24+F45*F24+G45*G24+H45*H24+I45*I24+J45*J24+K45*K24+L45*L24)/100</f>
        <v>100</v>
      </c>
      <c r="N24" s="82">
        <f>$O$18*($O$16-$O$17)*((B24/12)^0.3)*($P$46^0.7)</f>
        <v>2.961446511180061</v>
      </c>
      <c r="O24" t="str">
        <f t="shared" ref="O24:U33" si="1">IF($N24&gt;O$22,"No Motion", "Motion")</f>
        <v>No Motion</v>
      </c>
      <c r="P24" s="66" t="str">
        <f t="shared" si="1"/>
        <v>No Motion</v>
      </c>
      <c r="Q24" t="str">
        <f t="shared" si="1"/>
        <v>No Motion</v>
      </c>
      <c r="R24" t="str">
        <f t="shared" si="1"/>
        <v>No Motion</v>
      </c>
      <c r="S24" t="str">
        <f t="shared" si="1"/>
        <v>No Motion</v>
      </c>
      <c r="T24" t="str">
        <f t="shared" si="1"/>
        <v>No Motion</v>
      </c>
      <c r="U24" s="74" t="str">
        <f t="shared" si="1"/>
        <v>No Motion</v>
      </c>
      <c r="V24" s="56"/>
      <c r="W24" s="56"/>
    </row>
    <row r="25" spans="2:23" x14ac:dyDescent="0.2">
      <c r="B25" s="16">
        <v>32</v>
      </c>
      <c r="C25" s="25">
        <f t="shared" si="0"/>
        <v>812.8</v>
      </c>
      <c r="D25" s="1">
        <v>100</v>
      </c>
      <c r="E25" s="2">
        <v>100</v>
      </c>
      <c r="F25" s="2">
        <v>100</v>
      </c>
      <c r="G25" s="2">
        <v>100</v>
      </c>
      <c r="H25" s="2">
        <v>100</v>
      </c>
      <c r="I25" s="2">
        <v>100</v>
      </c>
      <c r="J25" s="2">
        <v>100</v>
      </c>
      <c r="K25" s="2">
        <v>100</v>
      </c>
      <c r="L25" s="4">
        <v>50</v>
      </c>
      <c r="M25" s="72">
        <f>(D45*D25+E45*E25+F45*F25+G45*G25+H45*H25+I45*I25+J45*J25+K45*K25+L45*L25)/100</f>
        <v>100</v>
      </c>
      <c r="N25" s="82">
        <f t="shared" ref="N25:N40" si="2">$O$18*($O$16-$O$17)*((B25/12)^0.3)*($P$46^0.7)</f>
        <v>2.8586312446328419</v>
      </c>
      <c r="O25" t="str">
        <f t="shared" si="1"/>
        <v>No Motion</v>
      </c>
      <c r="P25" s="66" t="str">
        <f t="shared" si="1"/>
        <v>No Motion</v>
      </c>
      <c r="Q25" t="str">
        <f t="shared" si="1"/>
        <v>No Motion</v>
      </c>
      <c r="R25" t="str">
        <f t="shared" si="1"/>
        <v>No Motion</v>
      </c>
      <c r="S25" t="str">
        <f t="shared" si="1"/>
        <v>No Motion</v>
      </c>
      <c r="T25" t="str">
        <f t="shared" si="1"/>
        <v>No Motion</v>
      </c>
      <c r="U25" s="74" t="str">
        <f t="shared" si="1"/>
        <v>No Motion</v>
      </c>
      <c r="V25" s="56"/>
      <c r="W25" s="56"/>
    </row>
    <row r="26" spans="2:23" x14ac:dyDescent="0.2">
      <c r="B26" s="16">
        <v>28</v>
      </c>
      <c r="C26" s="25">
        <f t="shared" si="0"/>
        <v>711.19999999999993</v>
      </c>
      <c r="D26" s="1">
        <v>100</v>
      </c>
      <c r="E26" s="2">
        <v>100</v>
      </c>
      <c r="F26" s="2">
        <v>100</v>
      </c>
      <c r="G26" s="2">
        <v>100</v>
      </c>
      <c r="H26" s="2">
        <v>100</v>
      </c>
      <c r="I26" s="2">
        <v>100</v>
      </c>
      <c r="J26" s="2">
        <v>100</v>
      </c>
      <c r="K26" s="3">
        <v>100</v>
      </c>
      <c r="L26" s="4"/>
      <c r="M26" s="72">
        <f>(D45*D26+E45*E26+F45*F26+G45*G26+H45*H26+I45*I26+J45*J26+K45*K26)/100</f>
        <v>100</v>
      </c>
      <c r="N26" s="82">
        <f t="shared" si="2"/>
        <v>2.7463795216315727</v>
      </c>
      <c r="O26" t="str">
        <f t="shared" si="1"/>
        <v>No Motion</v>
      </c>
      <c r="P26" s="66" t="str">
        <f t="shared" si="1"/>
        <v>No Motion</v>
      </c>
      <c r="Q26" t="str">
        <f t="shared" si="1"/>
        <v>No Motion</v>
      </c>
      <c r="R26" t="str">
        <f t="shared" si="1"/>
        <v>No Motion</v>
      </c>
      <c r="S26" t="str">
        <f t="shared" si="1"/>
        <v>No Motion</v>
      </c>
      <c r="T26" t="str">
        <f t="shared" si="1"/>
        <v>No Motion</v>
      </c>
      <c r="U26" s="74" t="str">
        <f t="shared" si="1"/>
        <v>Motion</v>
      </c>
      <c r="V26" s="56"/>
      <c r="W26" s="56"/>
    </row>
    <row r="27" spans="2:23" ht="15" customHeight="1" x14ac:dyDescent="0.2">
      <c r="B27" s="16">
        <v>23</v>
      </c>
      <c r="C27" s="25">
        <f t="shared" si="0"/>
        <v>584.19999999999993</v>
      </c>
      <c r="D27" s="1">
        <v>100</v>
      </c>
      <c r="E27" s="2">
        <v>100</v>
      </c>
      <c r="F27" s="2">
        <v>100</v>
      </c>
      <c r="G27" s="2">
        <v>100</v>
      </c>
      <c r="H27" s="2">
        <v>100</v>
      </c>
      <c r="I27" s="2">
        <v>100</v>
      </c>
      <c r="J27" s="2">
        <v>100</v>
      </c>
      <c r="K27" s="4">
        <v>50</v>
      </c>
      <c r="L27" s="4"/>
      <c r="M27" s="72">
        <f>(D45*D27+E45*E27+F45*F27+G45*G27+H45*H27+I45*I27+J45*J27+K45*K27)/100</f>
        <v>100</v>
      </c>
      <c r="N27" s="82">
        <f>$O$18*($O$16-$O$17)*((B27/12)^0.3)*($P$46^0.7)</f>
        <v>2.5889966799973112</v>
      </c>
      <c r="O27" t="str">
        <f t="shared" si="1"/>
        <v>No Motion</v>
      </c>
      <c r="P27" s="66" t="str">
        <f t="shared" si="1"/>
        <v>No Motion</v>
      </c>
      <c r="Q27" t="str">
        <f t="shared" si="1"/>
        <v>No Motion</v>
      </c>
      <c r="R27" t="str">
        <f t="shared" si="1"/>
        <v>No Motion</v>
      </c>
      <c r="S27" t="str">
        <f t="shared" si="1"/>
        <v>No Motion</v>
      </c>
      <c r="T27" t="str">
        <f t="shared" si="1"/>
        <v>No Motion</v>
      </c>
      <c r="U27" s="74" t="str">
        <f t="shared" si="1"/>
        <v>Motion</v>
      </c>
      <c r="V27" s="56"/>
      <c r="W27" s="56"/>
    </row>
    <row r="28" spans="2:23" x14ac:dyDescent="0.2">
      <c r="B28" s="16">
        <v>18</v>
      </c>
      <c r="C28" s="25">
        <f t="shared" si="0"/>
        <v>457.2</v>
      </c>
      <c r="D28" s="1">
        <v>100</v>
      </c>
      <c r="E28" s="2">
        <v>100</v>
      </c>
      <c r="F28" s="2">
        <v>100</v>
      </c>
      <c r="G28" s="2">
        <v>100</v>
      </c>
      <c r="H28" s="2">
        <v>100</v>
      </c>
      <c r="I28" s="2">
        <v>100</v>
      </c>
      <c r="J28" s="3">
        <v>100</v>
      </c>
      <c r="K28" s="4"/>
      <c r="L28" s="4"/>
      <c r="M28" s="72">
        <f>(D45*D28+E45*E28+F45*F28+G45*G28+H45*H28+I45*I28+J45*J28)/100</f>
        <v>100</v>
      </c>
      <c r="N28" s="82">
        <f t="shared" si="2"/>
        <v>2.4054420253868178</v>
      </c>
      <c r="O28" t="str">
        <f t="shared" si="1"/>
        <v>No Motion</v>
      </c>
      <c r="P28" s="66" t="str">
        <f t="shared" si="1"/>
        <v>No Motion</v>
      </c>
      <c r="Q28" t="str">
        <f t="shared" si="1"/>
        <v>No Motion</v>
      </c>
      <c r="R28" t="str">
        <f t="shared" si="1"/>
        <v>No Motion</v>
      </c>
      <c r="S28" t="str">
        <f t="shared" si="1"/>
        <v>No Motion</v>
      </c>
      <c r="T28" t="str">
        <f t="shared" si="1"/>
        <v>No Motion</v>
      </c>
      <c r="U28" s="74" t="str">
        <f t="shared" si="1"/>
        <v>Motion</v>
      </c>
    </row>
    <row r="29" spans="2:23" ht="15.75" customHeight="1" x14ac:dyDescent="0.2">
      <c r="B29" s="16">
        <v>15</v>
      </c>
      <c r="C29" s="25">
        <f t="shared" si="0"/>
        <v>381</v>
      </c>
      <c r="D29" s="1">
        <v>100</v>
      </c>
      <c r="E29" s="2">
        <v>100</v>
      </c>
      <c r="F29" s="2">
        <v>100</v>
      </c>
      <c r="G29" s="2">
        <v>100</v>
      </c>
      <c r="H29" s="2">
        <v>100</v>
      </c>
      <c r="I29" s="2">
        <v>100</v>
      </c>
      <c r="J29" s="4">
        <v>50</v>
      </c>
      <c r="K29" s="4"/>
      <c r="L29" s="4"/>
      <c r="M29" s="72">
        <f>(D45*D29+E45*E29+F45*F29+G45*G29+H45*H29+I45*I29+J45*J29)/100</f>
        <v>87.5</v>
      </c>
      <c r="N29" s="82">
        <f t="shared" si="2"/>
        <v>2.277406314274915</v>
      </c>
      <c r="O29" t="str">
        <f t="shared" si="1"/>
        <v>No Motion</v>
      </c>
      <c r="P29" s="66" t="str">
        <f t="shared" si="1"/>
        <v>No Motion</v>
      </c>
      <c r="Q29" t="str">
        <f t="shared" si="1"/>
        <v>No Motion</v>
      </c>
      <c r="R29" t="str">
        <f t="shared" si="1"/>
        <v>No Motion</v>
      </c>
      <c r="S29" t="str">
        <f t="shared" si="1"/>
        <v>No Motion</v>
      </c>
      <c r="T29" t="str">
        <f t="shared" si="1"/>
        <v>No Motion</v>
      </c>
      <c r="U29" s="74" t="str">
        <f t="shared" si="1"/>
        <v>Motion</v>
      </c>
    </row>
    <row r="30" spans="2:23" ht="14.25" customHeight="1" x14ac:dyDescent="0.2">
      <c r="B30" s="16">
        <v>12</v>
      </c>
      <c r="C30" s="25">
        <f t="shared" si="0"/>
        <v>304.79999999999995</v>
      </c>
      <c r="D30" s="1">
        <v>100</v>
      </c>
      <c r="E30" s="2">
        <v>100</v>
      </c>
      <c r="F30" s="2">
        <v>100</v>
      </c>
      <c r="G30" s="2">
        <v>100</v>
      </c>
      <c r="H30" s="2">
        <v>100</v>
      </c>
      <c r="I30" s="3">
        <v>100</v>
      </c>
      <c r="J30" s="3"/>
      <c r="K30" s="3"/>
      <c r="L30" s="3"/>
      <c r="M30" s="72">
        <f>(D45*D30+E45*E30+F45*F30+G45*G30+H45*H30+I45*I30)/100</f>
        <v>75</v>
      </c>
      <c r="N30" s="82">
        <f t="shared" si="2"/>
        <v>2.1299407204870509</v>
      </c>
      <c r="O30" t="str">
        <f t="shared" si="1"/>
        <v>No Motion</v>
      </c>
      <c r="P30" s="66" t="str">
        <f t="shared" si="1"/>
        <v>No Motion</v>
      </c>
      <c r="Q30" t="str">
        <f t="shared" si="1"/>
        <v>No Motion</v>
      </c>
      <c r="R30" t="str">
        <f t="shared" si="1"/>
        <v>No Motion</v>
      </c>
      <c r="S30" t="str">
        <f t="shared" si="1"/>
        <v>No Motion</v>
      </c>
      <c r="T30" t="str">
        <f t="shared" si="1"/>
        <v>Motion</v>
      </c>
      <c r="U30" s="74" t="str">
        <f t="shared" si="1"/>
        <v>Motion</v>
      </c>
    </row>
    <row r="31" spans="2:23" ht="13.5" customHeight="1" x14ac:dyDescent="0.2">
      <c r="B31" s="16">
        <v>10</v>
      </c>
      <c r="C31" s="25">
        <f>B31*25.4</f>
        <v>254</v>
      </c>
      <c r="D31" s="1">
        <v>100</v>
      </c>
      <c r="E31" s="2">
        <v>100</v>
      </c>
      <c r="F31" s="2">
        <v>100</v>
      </c>
      <c r="G31" s="2">
        <v>100</v>
      </c>
      <c r="H31" s="3">
        <v>100</v>
      </c>
      <c r="I31" s="5">
        <v>80</v>
      </c>
      <c r="J31" s="4"/>
      <c r="K31" s="4"/>
      <c r="L31" s="4"/>
      <c r="M31" s="72">
        <f>(D45*D31+E45*E31+F45*F31+G45*G31+H45*H31+I45*I31)/100</f>
        <v>68</v>
      </c>
      <c r="N31" s="82">
        <f t="shared" si="2"/>
        <v>2.0165692603164804</v>
      </c>
      <c r="O31" t="str">
        <f t="shared" si="1"/>
        <v>No Motion</v>
      </c>
      <c r="P31" s="66" t="str">
        <f t="shared" si="1"/>
        <v>No Motion</v>
      </c>
      <c r="Q31" t="str">
        <f t="shared" si="1"/>
        <v>No Motion</v>
      </c>
      <c r="R31" t="str">
        <f t="shared" si="1"/>
        <v>No Motion</v>
      </c>
      <c r="S31" t="str">
        <f t="shared" si="1"/>
        <v>Motion</v>
      </c>
      <c r="T31" t="str">
        <f t="shared" si="1"/>
        <v>Motion</v>
      </c>
      <c r="U31" s="74" t="str">
        <f t="shared" si="1"/>
        <v>Motion</v>
      </c>
    </row>
    <row r="32" spans="2:23" ht="15" customHeight="1" x14ac:dyDescent="0.2">
      <c r="B32" s="16">
        <v>8</v>
      </c>
      <c r="C32" s="25">
        <f t="shared" ref="C32:C41" si="3">B32*25.4</f>
        <v>203.2</v>
      </c>
      <c r="D32" s="1">
        <v>100</v>
      </c>
      <c r="E32" s="2">
        <v>100</v>
      </c>
      <c r="F32" s="2">
        <v>100</v>
      </c>
      <c r="G32" s="3">
        <v>100</v>
      </c>
      <c r="H32" s="5">
        <v>80</v>
      </c>
      <c r="I32" s="4">
        <f>I31-(($I$31-$I$34)/3)</f>
        <v>68.333333333333329</v>
      </c>
      <c r="J32" s="5"/>
      <c r="K32" s="5"/>
      <c r="L32" s="5"/>
      <c r="M32" s="72">
        <f>(D45*D32+E45*E32+F45*F32+G45*G32+H45*H32+I45*I32)/100</f>
        <v>63.916666666666657</v>
      </c>
      <c r="N32" s="82">
        <f t="shared" si="2"/>
        <v>1.8859932706377998</v>
      </c>
      <c r="O32" t="str">
        <f t="shared" si="1"/>
        <v>No Motion</v>
      </c>
      <c r="P32" s="66" t="str">
        <f t="shared" si="1"/>
        <v>No Motion</v>
      </c>
      <c r="Q32" t="str">
        <f t="shared" si="1"/>
        <v>No Motion</v>
      </c>
      <c r="R32" t="str">
        <f t="shared" si="1"/>
        <v>No Motion</v>
      </c>
      <c r="S32" t="str">
        <f t="shared" si="1"/>
        <v>Motion</v>
      </c>
      <c r="T32" t="str">
        <f t="shared" si="1"/>
        <v>Motion</v>
      </c>
      <c r="U32" s="74" t="str">
        <f t="shared" si="1"/>
        <v>Motion</v>
      </c>
    </row>
    <row r="33" spans="2:21" ht="15" customHeight="1" x14ac:dyDescent="0.2">
      <c r="B33" s="16">
        <v>6</v>
      </c>
      <c r="C33" s="25">
        <f t="shared" si="3"/>
        <v>152.39999999999998</v>
      </c>
      <c r="D33" s="1">
        <v>100</v>
      </c>
      <c r="E33" s="2">
        <v>100</v>
      </c>
      <c r="F33" s="3">
        <v>100</v>
      </c>
      <c r="G33" s="5">
        <v>80</v>
      </c>
      <c r="H33" s="4">
        <f>H32-(($H$32-$H$35)/3)</f>
        <v>68.333333333333329</v>
      </c>
      <c r="I33" s="4">
        <f>I32-(($I$31-$I$34)/3)</f>
        <v>56.666666666666664</v>
      </c>
      <c r="J33" s="4"/>
      <c r="K33" s="4"/>
      <c r="L33" s="4"/>
      <c r="M33" s="72">
        <f>((D45*D33)+(E45*E33)+(F45*F33)+(G45*G33)+(H45*H33)+(I45*I33))/100</f>
        <v>59.833333333333329</v>
      </c>
      <c r="N33" s="82">
        <f t="shared" si="2"/>
        <v>1.7300494543123337</v>
      </c>
      <c r="O33" t="str">
        <f t="shared" si="1"/>
        <v>No Motion</v>
      </c>
      <c r="P33" s="66" t="str">
        <f t="shared" si="1"/>
        <v>No Motion</v>
      </c>
      <c r="Q33" t="str">
        <f t="shared" si="1"/>
        <v>No Motion</v>
      </c>
      <c r="R33" t="str">
        <f t="shared" si="1"/>
        <v>Motion</v>
      </c>
      <c r="S33" t="str">
        <f t="shared" si="1"/>
        <v>Motion</v>
      </c>
      <c r="T33" t="str">
        <f t="shared" si="1"/>
        <v>Motion</v>
      </c>
      <c r="U33" s="74" t="str">
        <f t="shared" si="1"/>
        <v>Motion</v>
      </c>
    </row>
    <row r="34" spans="2:21" ht="16.5" customHeight="1" x14ac:dyDescent="0.2">
      <c r="B34" s="16">
        <v>5</v>
      </c>
      <c r="C34" s="25">
        <f t="shared" si="3"/>
        <v>127</v>
      </c>
      <c r="D34" s="1">
        <v>100</v>
      </c>
      <c r="E34" s="2">
        <v>100</v>
      </c>
      <c r="F34" s="5">
        <v>80</v>
      </c>
      <c r="G34" s="4">
        <f>G33-(($G$33-$G$36)/3)</f>
        <v>68.333333333333329</v>
      </c>
      <c r="H34" s="4">
        <f>H33-(($H$32-$H$35)/3)</f>
        <v>56.666666666666664</v>
      </c>
      <c r="I34" s="57">
        <v>45</v>
      </c>
      <c r="J34" s="5"/>
      <c r="K34" s="5"/>
      <c r="L34" s="5"/>
      <c r="M34" s="72">
        <f>(D45*D34+E45*E34+F45*F34+G45*G34+H45*H34+I45*I34)/100</f>
        <v>55.75</v>
      </c>
      <c r="N34" s="82">
        <f t="shared" si="2"/>
        <v>1.6379632141103824</v>
      </c>
      <c r="O34" t="str">
        <f t="shared" ref="O34:U41" si="4">IF($N34&gt;O$22,"No Motion", "Motion")</f>
        <v>No Motion</v>
      </c>
      <c r="P34" s="66" t="str">
        <f t="shared" si="4"/>
        <v>No Motion</v>
      </c>
      <c r="Q34" t="str">
        <f t="shared" si="4"/>
        <v>Motion</v>
      </c>
      <c r="R34" t="str">
        <f t="shared" si="4"/>
        <v>Motion</v>
      </c>
      <c r="S34" t="str">
        <f t="shared" si="4"/>
        <v>Motion</v>
      </c>
      <c r="T34" t="str">
        <f t="shared" si="4"/>
        <v>Motion</v>
      </c>
      <c r="U34" s="74" t="str">
        <f t="shared" si="4"/>
        <v>Motion</v>
      </c>
    </row>
    <row r="35" spans="2:21" ht="15.75" customHeight="1" x14ac:dyDescent="0.2">
      <c r="B35" s="16">
        <v>4</v>
      </c>
      <c r="C35" s="25">
        <f t="shared" si="3"/>
        <v>101.6</v>
      </c>
      <c r="D35" s="1">
        <v>100</v>
      </c>
      <c r="E35" s="3">
        <v>100</v>
      </c>
      <c r="F35" s="4">
        <f>(F34-(($F$34-$F$38)/4))</f>
        <v>71.25</v>
      </c>
      <c r="G35" s="4">
        <f>G34-(($G$33-$G$36)/3)</f>
        <v>56.666666666666664</v>
      </c>
      <c r="H35" s="57">
        <v>45</v>
      </c>
      <c r="I35" s="4">
        <f>I34-(($I$34-$I$41)/7)</f>
        <v>39.285714285714285</v>
      </c>
      <c r="J35" s="4"/>
      <c r="K35" s="4"/>
      <c r="L35" s="4"/>
      <c r="M35" s="72">
        <f>(D45*D35+E45*E35+F45*F35+G45*G35+H45*H35+I45*I35)/100</f>
        <v>53.75</v>
      </c>
      <c r="N35" s="82">
        <f>$O$18*($O$16-$O$17)*((B35/12)^0.3)*($P$46^0.7)</f>
        <v>1.531902553587287</v>
      </c>
      <c r="O35" t="str">
        <f t="shared" si="4"/>
        <v>No Motion</v>
      </c>
      <c r="P35" s="66" t="str">
        <f t="shared" si="4"/>
        <v>Motion</v>
      </c>
      <c r="Q35" t="str">
        <f t="shared" si="4"/>
        <v>Motion</v>
      </c>
      <c r="R35" t="str">
        <f t="shared" si="4"/>
        <v>Motion</v>
      </c>
      <c r="S35" t="str">
        <f t="shared" si="4"/>
        <v>Motion</v>
      </c>
      <c r="T35" t="str">
        <f t="shared" si="4"/>
        <v>Motion</v>
      </c>
      <c r="U35" s="74" t="str">
        <f t="shared" si="4"/>
        <v>Motion</v>
      </c>
    </row>
    <row r="36" spans="2:21" ht="15" customHeight="1" x14ac:dyDescent="0.2">
      <c r="B36" s="16">
        <v>3</v>
      </c>
      <c r="C36" s="23">
        <f t="shared" si="3"/>
        <v>76.199999999999989</v>
      </c>
      <c r="D36" s="1">
        <v>100</v>
      </c>
      <c r="E36" s="5">
        <v>80</v>
      </c>
      <c r="F36" s="4">
        <f t="shared" ref="F36:F37" si="5">(F35-(($F$34-$F$38)/4))</f>
        <v>62.5</v>
      </c>
      <c r="G36" s="57">
        <v>45</v>
      </c>
      <c r="H36" s="4">
        <f>H35-(($H$35-$H$41)/6)</f>
        <v>38.333333333333336</v>
      </c>
      <c r="I36" s="4">
        <f t="shared" ref="I36:I40" si="6">I35-(($I$34-$I$41)/7)</f>
        <v>33.571428571428569</v>
      </c>
      <c r="J36" s="4"/>
      <c r="K36" s="4"/>
      <c r="L36" s="4"/>
      <c r="M36" s="72">
        <f>(D45*D36+E45*E36+F45*F36+G45*G36+H45*H36+I45*I36)/100</f>
        <v>49.75</v>
      </c>
      <c r="N36" s="82">
        <f>$O$18*($O$16-$O$17)*((B36/12)^0.3)*($P$46^0.7)</f>
        <v>1.405236815079991</v>
      </c>
      <c r="O36" t="str">
        <f t="shared" si="4"/>
        <v>No Motion</v>
      </c>
      <c r="P36" s="66" t="str">
        <f t="shared" si="4"/>
        <v>Motion</v>
      </c>
      <c r="Q36" t="str">
        <f t="shared" si="4"/>
        <v>Motion</v>
      </c>
      <c r="R36" t="str">
        <f t="shared" si="4"/>
        <v>Motion</v>
      </c>
      <c r="S36" t="str">
        <f t="shared" si="4"/>
        <v>Motion</v>
      </c>
      <c r="T36" t="str">
        <f t="shared" si="4"/>
        <v>Motion</v>
      </c>
      <c r="U36" s="74" t="str">
        <f t="shared" si="4"/>
        <v>Motion</v>
      </c>
    </row>
    <row r="37" spans="2:21" ht="13.5" customHeight="1" x14ac:dyDescent="0.2">
      <c r="B37" s="16">
        <v>2.5</v>
      </c>
      <c r="C37" s="23">
        <f t="shared" si="3"/>
        <v>63.5</v>
      </c>
      <c r="D37" s="6">
        <v>100</v>
      </c>
      <c r="E37" s="4">
        <f>(E36-(($E$36-$E$39)/3))</f>
        <v>65</v>
      </c>
      <c r="F37" s="4">
        <f t="shared" si="5"/>
        <v>53.75</v>
      </c>
      <c r="G37" s="4">
        <f>G36-(($G$36-$G$41)/5)</f>
        <v>37</v>
      </c>
      <c r="H37" s="4">
        <f t="shared" ref="H37:H40" si="7">H36-(($H$35-$H$41)/6)</f>
        <v>31.666666666666668</v>
      </c>
      <c r="I37" s="4">
        <f t="shared" si="6"/>
        <v>27.857142857142854</v>
      </c>
      <c r="J37" s="4"/>
      <c r="K37" s="4"/>
      <c r="L37" s="4"/>
      <c r="M37" s="72">
        <f>(D45*D37+E45*E37+F45*F37+G45*G37+H45*H37+I45*I37)/100</f>
        <v>46.25</v>
      </c>
      <c r="N37" s="82">
        <f>$O$18*($O$16-$O$17)*((B37/12)^0.3)*($P$46^0.7)</f>
        <v>1.3304395458045197</v>
      </c>
      <c r="O37" t="str">
        <f t="shared" si="4"/>
        <v>No Motion</v>
      </c>
      <c r="P37" s="66" t="str">
        <f>IF($N37&gt;P$22,"No Motion", "Motion")</f>
        <v>Motion</v>
      </c>
      <c r="Q37" t="str">
        <f t="shared" si="4"/>
        <v>Motion</v>
      </c>
      <c r="R37" t="str">
        <f t="shared" si="4"/>
        <v>Motion</v>
      </c>
      <c r="S37" t="str">
        <f t="shared" si="4"/>
        <v>Motion</v>
      </c>
      <c r="T37" t="str">
        <f t="shared" si="4"/>
        <v>Motion</v>
      </c>
      <c r="U37" s="74" t="str">
        <f t="shared" si="4"/>
        <v>Motion</v>
      </c>
    </row>
    <row r="38" spans="2:21" x14ac:dyDescent="0.2">
      <c r="B38" s="16">
        <v>2</v>
      </c>
      <c r="C38" s="23">
        <f t="shared" si="3"/>
        <v>50.8</v>
      </c>
      <c r="D38" s="7">
        <v>80</v>
      </c>
      <c r="E38" s="4">
        <f>(E37-(($E$36-$E$39)/3))</f>
        <v>50</v>
      </c>
      <c r="F38" s="57">
        <v>45</v>
      </c>
      <c r="G38" s="4">
        <f t="shared" ref="G38:G40" si="8">G37-(($G$36-$G$41)/5)</f>
        <v>29</v>
      </c>
      <c r="H38" s="4">
        <f t="shared" si="7"/>
        <v>25</v>
      </c>
      <c r="I38" s="4">
        <f t="shared" si="6"/>
        <v>22.142857142857139</v>
      </c>
      <c r="J38" s="4"/>
      <c r="K38" s="4"/>
      <c r="L38" s="4"/>
      <c r="M38" s="72">
        <f>(D45*D38+E45*E38+F45*F38+G45*G38+H45*H38+I45*I38)/100</f>
        <v>36.75</v>
      </c>
      <c r="N38" s="82">
        <f t="shared" si="2"/>
        <v>1.2442915201355105</v>
      </c>
      <c r="O38" t="str">
        <f t="shared" si="4"/>
        <v>No Motion</v>
      </c>
      <c r="P38" s="66" t="str">
        <f t="shared" si="4"/>
        <v>Motion</v>
      </c>
      <c r="Q38" t="str">
        <f t="shared" si="4"/>
        <v>Motion</v>
      </c>
      <c r="R38" t="str">
        <f t="shared" si="4"/>
        <v>Motion</v>
      </c>
      <c r="S38" t="str">
        <f t="shared" si="4"/>
        <v>Motion</v>
      </c>
      <c r="T38" t="str">
        <f t="shared" si="4"/>
        <v>Motion</v>
      </c>
      <c r="U38" s="74" t="str">
        <f t="shared" si="4"/>
        <v>Motion</v>
      </c>
    </row>
    <row r="39" spans="2:21" x14ac:dyDescent="0.2">
      <c r="B39" s="16">
        <v>1.5</v>
      </c>
      <c r="C39" s="23">
        <f t="shared" si="3"/>
        <v>38.099999999999994</v>
      </c>
      <c r="D39" s="8">
        <f>D38-(D38-D40)/2</f>
        <v>72.5</v>
      </c>
      <c r="E39" s="7">
        <v>35</v>
      </c>
      <c r="F39" s="4">
        <f>(F38-(($F$38-$F$41)/3))</f>
        <v>31.666666666666664</v>
      </c>
      <c r="G39" s="4">
        <f t="shared" si="8"/>
        <v>21</v>
      </c>
      <c r="H39" s="4">
        <f t="shared" si="7"/>
        <v>18.333333333333332</v>
      </c>
      <c r="I39" s="4">
        <f t="shared" si="6"/>
        <v>16.428571428571423</v>
      </c>
      <c r="J39" s="4"/>
      <c r="K39" s="4"/>
      <c r="L39" s="4"/>
      <c r="M39" s="72">
        <f>(D45*D39+E45*E39+F45*F39+G45*G39+H45*H39+I45*I39)/100</f>
        <v>31</v>
      </c>
      <c r="N39" s="82">
        <f t="shared" si="2"/>
        <v>1.1414069704967267</v>
      </c>
      <c r="O39" t="str">
        <f t="shared" si="4"/>
        <v>Motion</v>
      </c>
      <c r="P39" s="66" t="str">
        <f t="shared" si="4"/>
        <v>Motion</v>
      </c>
      <c r="Q39" t="str">
        <f t="shared" si="4"/>
        <v>Motion</v>
      </c>
      <c r="R39" t="str">
        <f t="shared" si="4"/>
        <v>Motion</v>
      </c>
      <c r="S39" t="str">
        <f t="shared" si="4"/>
        <v>Motion</v>
      </c>
      <c r="T39" t="str">
        <f t="shared" si="4"/>
        <v>Motion</v>
      </c>
      <c r="U39" s="74" t="str">
        <f t="shared" si="4"/>
        <v>Motion</v>
      </c>
    </row>
    <row r="40" spans="2:21" x14ac:dyDescent="0.2">
      <c r="B40" s="16">
        <v>1</v>
      </c>
      <c r="C40" s="23">
        <f t="shared" si="3"/>
        <v>25.4</v>
      </c>
      <c r="D40" s="7">
        <v>65</v>
      </c>
      <c r="E40" s="4">
        <v>20</v>
      </c>
      <c r="F40" s="4">
        <f>(F39-(($F$38-$F$41)/3))</f>
        <v>18.333333333333329</v>
      </c>
      <c r="G40" s="4">
        <f t="shared" si="8"/>
        <v>13</v>
      </c>
      <c r="H40" s="4">
        <f t="shared" si="7"/>
        <v>11.666666666666664</v>
      </c>
      <c r="I40" s="4">
        <f t="shared" si="6"/>
        <v>10.714285714285708</v>
      </c>
      <c r="J40" s="4"/>
      <c r="K40" s="4"/>
      <c r="L40" s="4"/>
      <c r="M40" s="72">
        <f>(D45*D40+E45*E40+F45*F40+G45*G40+H45*H40+I45*I40)/100</f>
        <v>25.25</v>
      </c>
      <c r="N40" s="82">
        <f t="shared" si="2"/>
        <v>1.0106787689958114</v>
      </c>
      <c r="O40" t="str">
        <f t="shared" si="4"/>
        <v>Motion</v>
      </c>
      <c r="P40" s="66" t="str">
        <f t="shared" si="4"/>
        <v>Motion</v>
      </c>
      <c r="Q40" t="str">
        <f t="shared" si="4"/>
        <v>Motion</v>
      </c>
      <c r="R40" t="str">
        <f t="shared" si="4"/>
        <v>Motion</v>
      </c>
      <c r="S40" t="str">
        <f t="shared" si="4"/>
        <v>Motion</v>
      </c>
      <c r="T40" t="str">
        <f t="shared" si="4"/>
        <v>Motion</v>
      </c>
      <c r="U40" s="74" t="str">
        <f t="shared" si="4"/>
        <v>Motion</v>
      </c>
    </row>
    <row r="41" spans="2:21" ht="13.5" thickBot="1" x14ac:dyDescent="0.25">
      <c r="B41" s="17">
        <v>0.75</v>
      </c>
      <c r="C41" s="23">
        <f t="shared" si="3"/>
        <v>19.049999999999997</v>
      </c>
      <c r="D41" s="8">
        <f>D40-(D40-D42)/2</f>
        <v>50</v>
      </c>
      <c r="E41" s="5">
        <v>5</v>
      </c>
      <c r="F41" s="5">
        <v>5</v>
      </c>
      <c r="G41" s="5">
        <v>5</v>
      </c>
      <c r="H41" s="5">
        <v>5</v>
      </c>
      <c r="I41" s="5">
        <v>5</v>
      </c>
      <c r="J41" s="5"/>
      <c r="K41" s="5"/>
      <c r="L41" s="5"/>
      <c r="M41" s="72">
        <f>(D45*D41+E45*E41+F45*F41+G45*G41+H45*H41+I45*I41)/100</f>
        <v>17.25</v>
      </c>
      <c r="N41" s="82">
        <f>$O$18*($O$16-$O$17)*((B41/12)^0.3)*($P$46^0.7)</f>
        <v>0.92711054700367734</v>
      </c>
      <c r="O41" t="str">
        <f t="shared" si="4"/>
        <v>Motion</v>
      </c>
      <c r="P41" s="67" t="str">
        <f t="shared" si="4"/>
        <v>Motion</v>
      </c>
      <c r="Q41" t="str">
        <f t="shared" si="4"/>
        <v>Motion</v>
      </c>
      <c r="R41" t="str">
        <f t="shared" si="4"/>
        <v>Motion</v>
      </c>
      <c r="S41" t="str">
        <f t="shared" si="4"/>
        <v>Motion</v>
      </c>
      <c r="T41" t="str">
        <f t="shared" si="4"/>
        <v>Motion</v>
      </c>
      <c r="U41" s="74" t="str">
        <f t="shared" si="4"/>
        <v>Motion</v>
      </c>
    </row>
    <row r="42" spans="2:21" x14ac:dyDescent="0.2">
      <c r="B42" s="18" t="s">
        <v>18</v>
      </c>
      <c r="C42" s="15">
        <v>4.75</v>
      </c>
      <c r="D42" s="7">
        <v>35</v>
      </c>
      <c r="E42" s="4"/>
      <c r="F42" s="4"/>
      <c r="G42" s="4"/>
      <c r="H42" s="4"/>
      <c r="I42" s="4"/>
      <c r="J42" s="4"/>
      <c r="K42" s="4"/>
      <c r="L42" s="4"/>
      <c r="M42" s="72">
        <f>(D45*D42+E45*E42+F45*F42+G45*G42+H45*H42+I45*I42)/100</f>
        <v>10.5</v>
      </c>
      <c r="N42" s="83"/>
      <c r="U42" s="74"/>
    </row>
    <row r="43" spans="2:21" x14ac:dyDescent="0.2">
      <c r="B43" s="18" t="s">
        <v>19</v>
      </c>
      <c r="C43" s="24">
        <v>0.42499999999999999</v>
      </c>
      <c r="D43" s="7">
        <v>16</v>
      </c>
      <c r="E43" s="4"/>
      <c r="F43" s="4"/>
      <c r="G43" s="4"/>
      <c r="H43" s="4"/>
      <c r="I43" s="4"/>
      <c r="J43" s="4"/>
      <c r="K43" s="4"/>
      <c r="L43" s="4"/>
      <c r="M43" s="72">
        <f>(D45*D43+E45*E43+F45*F43+G45*G43+H45*H43+I45*I43)/100</f>
        <v>4.8</v>
      </c>
      <c r="N43" s="83"/>
      <c r="O43" s="84"/>
      <c r="P43" s="85"/>
      <c r="Q43" s="62"/>
      <c r="R43" s="85"/>
      <c r="S43" s="85"/>
      <c r="T43" s="85"/>
      <c r="U43" s="74"/>
    </row>
    <row r="44" spans="2:21" ht="13.5" thickBot="1" x14ac:dyDescent="0.25">
      <c r="B44" s="19" t="s">
        <v>14</v>
      </c>
      <c r="C44" s="26">
        <v>7.4999999999999997E-2</v>
      </c>
      <c r="D44" s="9">
        <v>7</v>
      </c>
      <c r="E44" s="10"/>
      <c r="F44" s="10"/>
      <c r="G44" s="10"/>
      <c r="H44" s="10"/>
      <c r="I44" s="10"/>
      <c r="J44" s="10"/>
      <c r="K44" s="10"/>
      <c r="L44" s="10"/>
      <c r="M44" s="71">
        <f>D45*D44/100</f>
        <v>2.1</v>
      </c>
      <c r="N44" s="83"/>
      <c r="O44" s="90" t="s">
        <v>72</v>
      </c>
      <c r="P44" s="86">
        <f>C41+(16-M41)*((C42-C41)/(M42-M41))</f>
        <v>16.401851851851848</v>
      </c>
      <c r="Q44" s="62">
        <f>P44/25.4</f>
        <v>0.64574219889180506</v>
      </c>
      <c r="R44" s="85"/>
      <c r="S44" s="85"/>
      <c r="T44" s="85"/>
      <c r="U44" s="74"/>
    </row>
    <row r="45" spans="2:21" ht="16.5" customHeight="1" thickTop="1" x14ac:dyDescent="0.2">
      <c r="B45" s="124" t="s">
        <v>11</v>
      </c>
      <c r="C45" s="125"/>
      <c r="D45" s="128">
        <v>30</v>
      </c>
      <c r="E45" s="128">
        <v>10</v>
      </c>
      <c r="F45" s="128">
        <v>0</v>
      </c>
      <c r="G45" s="128">
        <v>0</v>
      </c>
      <c r="H45" s="128">
        <v>0</v>
      </c>
      <c r="I45" s="128">
        <v>35</v>
      </c>
      <c r="J45" s="128">
        <v>25</v>
      </c>
      <c r="K45" s="128"/>
      <c r="L45" s="128"/>
      <c r="M45" s="130">
        <f>SUM(D45:L45)/100</f>
        <v>1</v>
      </c>
      <c r="N45" s="78"/>
      <c r="O45" t="s">
        <v>38</v>
      </c>
      <c r="P45" s="86">
        <f>B35+(50-M35)*((B36-B35)/(M36-M35))</f>
        <v>3.0625</v>
      </c>
      <c r="Q45" s="62" t="s">
        <v>52</v>
      </c>
      <c r="U45" s="74"/>
    </row>
    <row r="46" spans="2:21" ht="13.5" thickBot="1" x14ac:dyDescent="0.25">
      <c r="B46" s="126"/>
      <c r="C46" s="127"/>
      <c r="D46" s="129"/>
      <c r="E46" s="129"/>
      <c r="F46" s="129"/>
      <c r="G46" s="129"/>
      <c r="H46" s="129"/>
      <c r="I46" s="129"/>
      <c r="J46" s="129"/>
      <c r="K46" s="129"/>
      <c r="L46" s="129"/>
      <c r="M46" s="131"/>
      <c r="N46" s="78"/>
      <c r="P46" s="22">
        <f>P45/12</f>
        <v>0.25520833333333331</v>
      </c>
      <c r="Q46" s="62" t="s">
        <v>0</v>
      </c>
      <c r="U46" s="74"/>
    </row>
    <row r="47" spans="2:21" ht="15.75" customHeight="1" thickTop="1" x14ac:dyDescent="0.2">
      <c r="B47" s="124" t="s">
        <v>30</v>
      </c>
      <c r="C47" s="125"/>
      <c r="D47" s="51">
        <f t="shared" ref="D47:L47" si="9">D45/$M$47</f>
        <v>40</v>
      </c>
      <c r="E47" s="51">
        <f t="shared" si="9"/>
        <v>13.333333333333334</v>
      </c>
      <c r="F47" s="51">
        <f t="shared" si="9"/>
        <v>0</v>
      </c>
      <c r="G47" s="51">
        <f t="shared" si="9"/>
        <v>0</v>
      </c>
      <c r="H47" s="51">
        <f t="shared" si="9"/>
        <v>0</v>
      </c>
      <c r="I47" s="51">
        <f t="shared" si="9"/>
        <v>46.666666666666664</v>
      </c>
      <c r="J47" s="51">
        <f t="shared" si="9"/>
        <v>33.333333333333336</v>
      </c>
      <c r="K47" s="51">
        <f t="shared" si="9"/>
        <v>0</v>
      </c>
      <c r="L47" s="51">
        <f t="shared" si="9"/>
        <v>0</v>
      </c>
      <c r="M47" s="149">
        <f>(($M$45*100)-SUM(J45:L45))/100</f>
        <v>0.75</v>
      </c>
      <c r="N47" s="78"/>
      <c r="O47" t="s">
        <v>93</v>
      </c>
      <c r="P47" s="86">
        <f>B29+(84-M29)*((B30-B29)/(M30-M29))</f>
        <v>14.16</v>
      </c>
      <c r="U47" s="74"/>
    </row>
    <row r="48" spans="2:21" ht="13.5" thickBot="1" x14ac:dyDescent="0.25">
      <c r="B48" s="126"/>
      <c r="C48" s="127"/>
      <c r="D48" s="52"/>
      <c r="E48" s="52"/>
      <c r="F48" s="52"/>
      <c r="G48" s="52"/>
      <c r="H48" s="52"/>
      <c r="I48" s="52"/>
      <c r="J48" s="52"/>
      <c r="K48" s="52"/>
      <c r="L48" s="52"/>
      <c r="M48" s="150"/>
      <c r="N48" s="87"/>
      <c r="O48" s="88"/>
      <c r="P48" s="88"/>
      <c r="Q48" s="88"/>
      <c r="R48" s="88"/>
      <c r="S48" s="88"/>
      <c r="T48" s="88"/>
      <c r="U48" s="89"/>
    </row>
    <row r="50" spans="16:19" ht="13.5" customHeight="1" x14ac:dyDescent="0.2"/>
    <row r="52" spans="16:19" ht="15" x14ac:dyDescent="0.25">
      <c r="P52" s="138" t="s">
        <v>37</v>
      </c>
      <c r="Q52" s="139"/>
      <c r="R52" s="139"/>
      <c r="S52" s="139"/>
    </row>
    <row r="53" spans="16:19" x14ac:dyDescent="0.2">
      <c r="P53" s="54" t="s">
        <v>35</v>
      </c>
      <c r="Q53" s="63">
        <v>18</v>
      </c>
      <c r="R53" s="60"/>
    </row>
    <row r="54" spans="16:19" x14ac:dyDescent="0.2">
      <c r="P54" s="60" t="s">
        <v>36</v>
      </c>
      <c r="Q54" s="53"/>
      <c r="R54" s="53"/>
    </row>
    <row r="55" spans="16:19" x14ac:dyDescent="0.2">
      <c r="P55" s="55">
        <f t="shared" ref="P55:P69" si="10">B30</f>
        <v>12</v>
      </c>
      <c r="Q55" s="56">
        <f t="shared" ref="Q55:Q69" si="11">($C30/(Q$53*25.4))^0.45*100</f>
        <v>83.321855635937851</v>
      </c>
      <c r="R55" s="56"/>
    </row>
    <row r="56" spans="16:19" x14ac:dyDescent="0.2">
      <c r="P56" s="55">
        <f t="shared" si="10"/>
        <v>10</v>
      </c>
      <c r="Q56" s="56">
        <f t="shared" si="11"/>
        <v>76.758657912461743</v>
      </c>
      <c r="R56" s="56"/>
    </row>
    <row r="57" spans="16:19" x14ac:dyDescent="0.2">
      <c r="P57" s="55">
        <f t="shared" si="10"/>
        <v>8</v>
      </c>
      <c r="Q57" s="56">
        <f t="shared" si="11"/>
        <v>69.425316266160706</v>
      </c>
      <c r="R57" s="56"/>
    </row>
    <row r="58" spans="16:19" x14ac:dyDescent="0.2">
      <c r="P58" s="55">
        <f t="shared" si="10"/>
        <v>6</v>
      </c>
      <c r="Q58" s="56">
        <f t="shared" si="11"/>
        <v>60.995168498111511</v>
      </c>
      <c r="R58" s="56"/>
    </row>
    <row r="59" spans="16:19" x14ac:dyDescent="0.2">
      <c r="P59" s="55">
        <f t="shared" si="10"/>
        <v>5</v>
      </c>
      <c r="Q59" s="56">
        <f t="shared" si="11"/>
        <v>56.190626544809376</v>
      </c>
      <c r="R59" s="56"/>
    </row>
    <row r="60" spans="16:19" x14ac:dyDescent="0.2">
      <c r="P60" s="55">
        <f t="shared" si="10"/>
        <v>4</v>
      </c>
      <c r="Q60" s="56">
        <f t="shared" si="11"/>
        <v>50.822306240893525</v>
      </c>
      <c r="R60" s="56"/>
    </row>
    <row r="61" spans="16:19" x14ac:dyDescent="0.2">
      <c r="P61" s="55">
        <f t="shared" si="10"/>
        <v>3</v>
      </c>
      <c r="Q61" s="56">
        <f t="shared" si="11"/>
        <v>44.651076859939138</v>
      </c>
      <c r="R61" s="56"/>
    </row>
    <row r="62" spans="16:19" x14ac:dyDescent="0.2">
      <c r="P62" s="55">
        <f t="shared" si="10"/>
        <v>2.5</v>
      </c>
      <c r="Q62" s="56">
        <f t="shared" si="11"/>
        <v>41.133946285238984</v>
      </c>
      <c r="R62" s="56"/>
    </row>
    <row r="63" spans="16:19" x14ac:dyDescent="0.2">
      <c r="P63" s="55">
        <f t="shared" si="10"/>
        <v>2</v>
      </c>
      <c r="Q63" s="56">
        <f t="shared" si="11"/>
        <v>37.204105801130147</v>
      </c>
      <c r="R63" s="56"/>
    </row>
    <row r="64" spans="16:19" x14ac:dyDescent="0.2">
      <c r="P64" s="55">
        <f t="shared" si="10"/>
        <v>1.5</v>
      </c>
      <c r="Q64" s="56">
        <f t="shared" si="11"/>
        <v>32.686501469602803</v>
      </c>
      <c r="R64" s="56"/>
    </row>
    <row r="65" spans="16:18" x14ac:dyDescent="0.2">
      <c r="P65" s="55">
        <f t="shared" si="10"/>
        <v>1</v>
      </c>
      <c r="Q65" s="56">
        <f t="shared" si="11"/>
        <v>27.234999566941156</v>
      </c>
      <c r="R65" s="56"/>
    </row>
    <row r="66" spans="16:18" x14ac:dyDescent="0.2">
      <c r="P66" s="55">
        <f t="shared" si="10"/>
        <v>0.75</v>
      </c>
      <c r="Q66" s="56">
        <f t="shared" si="11"/>
        <v>23.92791962607556</v>
      </c>
      <c r="R66" s="56"/>
    </row>
    <row r="67" spans="16:18" x14ac:dyDescent="0.2">
      <c r="P67" s="55" t="str">
        <f t="shared" si="10"/>
        <v>No. 4  =</v>
      </c>
      <c r="Q67" s="56">
        <f t="shared" si="11"/>
        <v>12.807498820602504</v>
      </c>
      <c r="R67" s="56"/>
    </row>
    <row r="68" spans="16:18" x14ac:dyDescent="0.2">
      <c r="P68" s="55" t="str">
        <f t="shared" si="10"/>
        <v>No. 40 =</v>
      </c>
      <c r="Q68" s="56">
        <f t="shared" si="11"/>
        <v>4.3224225351077106</v>
      </c>
    </row>
    <row r="69" spans="16:18" x14ac:dyDescent="0.2">
      <c r="P69" s="55" t="str">
        <f t="shared" si="10"/>
        <v>No. 200  =</v>
      </c>
      <c r="Q69" s="56">
        <f t="shared" si="11"/>
        <v>1.9802944428750386</v>
      </c>
    </row>
    <row r="97" ht="13.5" customHeight="1" x14ac:dyDescent="0.2"/>
    <row r="114" ht="13.5" customHeight="1" x14ac:dyDescent="0.2"/>
  </sheetData>
  <sheetProtection selectLockedCells="1"/>
  <mergeCells count="28">
    <mergeCell ref="N5:U5"/>
    <mergeCell ref="N4:U4"/>
    <mergeCell ref="I45:I46"/>
    <mergeCell ref="J45:J46"/>
    <mergeCell ref="K45:K46"/>
    <mergeCell ref="L45:L46"/>
    <mergeCell ref="M45:M46"/>
    <mergeCell ref="D45:D46"/>
    <mergeCell ref="E45:E46"/>
    <mergeCell ref="F45:F46"/>
    <mergeCell ref="G45:G46"/>
    <mergeCell ref="H45:H46"/>
    <mergeCell ref="P52:S52"/>
    <mergeCell ref="B1:H1"/>
    <mergeCell ref="C3:H3"/>
    <mergeCell ref="C4:H4"/>
    <mergeCell ref="B6:F6"/>
    <mergeCell ref="H6:L6"/>
    <mergeCell ref="B13:F13"/>
    <mergeCell ref="H13:L13"/>
    <mergeCell ref="C20:I20"/>
    <mergeCell ref="C21:I21"/>
    <mergeCell ref="B22:C22"/>
    <mergeCell ref="E22:I22"/>
    <mergeCell ref="M22:M23"/>
    <mergeCell ref="B47:C48"/>
    <mergeCell ref="M47:M48"/>
    <mergeCell ref="B45:C46"/>
  </mergeCells>
  <conditionalFormatting sqref="M24:M30">
    <cfRule type="expression" dxfId="23" priority="13" stopIfTrue="1">
      <formula>OR(AND(#REF!&gt;=0.9,#REF!&lt;=1.1),AND(#REF!&gt;=0.9,#REF!&lt;=1.1),AND($N$56&gt;=0.9,$N$56&lt;=1.1),AND($O$56&gt;=0.9,$O$56&lt;=1.1))</formula>
    </cfRule>
  </conditionalFormatting>
  <conditionalFormatting sqref="M31 B24:C24 C25:C44 B31 B25:B29">
    <cfRule type="expression" dxfId="22" priority="14" stopIfTrue="1">
      <formula>OR(AND(#REF!&gt;=0.75,#REF!&lt;=0.9),AND(#REF!&gt;=0.75,#REF!&lt;=0.9),AND($N$56&gt;=0.75,$N$56&lt;=0.9),AND($O$56&gt;=0.75,$O$56&lt;=0.9))</formula>
    </cfRule>
  </conditionalFormatting>
  <conditionalFormatting sqref="M32 B32 B30">
    <cfRule type="expression" dxfId="21" priority="15" stopIfTrue="1">
      <formula>OR(AND(#REF!&gt;=0.58,#REF!&lt;0.75),AND(#REF!&gt;=0.58,#REF!&lt;=0.75),AND($N$56&gt;=0.58,$N$56&lt;=0.75),AND($O$56&gt;=0.58,$O$56&lt;=0.75))</formula>
    </cfRule>
  </conditionalFormatting>
  <conditionalFormatting sqref="M33 B33">
    <cfRule type="expression" dxfId="20" priority="16" stopIfTrue="1">
      <formula>OR(AND(#REF!&lt;=0.58,#REF!&gt;=0.46),AND(#REF!&lt;=0.58,#REF!&gt;=0.46),AND($N$56&lt;=0.58,$N$56&gt;=0.46),AND($O$56&lt;=0.58,$O$56&gt;=0.46))</formula>
    </cfRule>
  </conditionalFormatting>
  <conditionalFormatting sqref="M34 B34">
    <cfRule type="expression" dxfId="19" priority="17" stopIfTrue="1">
      <formula>OR(AND(#REF!&gt;=0.37,#REF!&lt;=0.46),AND(#REF!&gt;=0.37,#REF!&lt;=0.46),AND($N$56&gt;=0.37,$N$56&lt;=0.46),AND($O$56&gt;=0.37,$O$56&lt;=0.46))</formula>
    </cfRule>
  </conditionalFormatting>
  <conditionalFormatting sqref="M35 B35">
    <cfRule type="expression" dxfId="18" priority="18" stopIfTrue="1">
      <formula>OR(AND(#REF!&gt;=0.29,#REF!&lt;=0.37),AND(#REF!&gt;=0.29,#REF!&lt;=0.37),AND($N$56&gt;=0.29,$N$56&lt;=0.37),AND($O$56&gt;=0.29,$O$56&lt;=0.37))</formula>
    </cfRule>
  </conditionalFormatting>
  <conditionalFormatting sqref="M36 B36">
    <cfRule type="expression" dxfId="17" priority="19" stopIfTrue="1">
      <formula>OR(AND(#REF!&gt;=0.23,#REF!&lt;=0.29),AND(#REF!&gt;=0.23,#REF!&lt;=0.29),AND($N$56&gt;=0.23,$N$56&lt;=0.29),AND($O$56&gt;=0.23,$O$56&lt;=0.29))</formula>
    </cfRule>
  </conditionalFormatting>
  <conditionalFormatting sqref="M37 B37">
    <cfRule type="expression" dxfId="16" priority="20" stopIfTrue="1">
      <formula>OR(AND(#REF!&gt;=0.19,#REF!&lt;=0.23),AND(#REF!&gt;=0.19,#REF!&lt;=0.23),AND($N$56&gt;=0.19,$N$56&lt;=0.23),AND($O$56&gt;=0.19,$O$56&lt;=0.23))</formula>
    </cfRule>
  </conditionalFormatting>
  <conditionalFormatting sqref="M38 B38">
    <cfRule type="expression" dxfId="15" priority="21" stopIfTrue="1">
      <formula>OR(AND(#REF!&gt;=0.15,#REF!&lt;=0.19),AND(#REF!&gt;=0.15,#REF!&lt;=0.19),AND($N$56&gt;=0.15,$N$56&lt;=0.19),AND($O$56&gt;=0.15,$O$56&lt;=0.19))</formula>
    </cfRule>
  </conditionalFormatting>
  <conditionalFormatting sqref="M39 B39">
    <cfRule type="expression" dxfId="14" priority="22" stopIfTrue="1">
      <formula>OR(AND(#REF!&gt;=0.1,#REF!&lt;=0.15),AND(#REF!&gt;=0.1,#REF!&lt;=0.15),AND($N$56&gt;=0.1,$N$56&lt;=0.15),AND($O$56&gt;=0.1,$O$56&lt;=0.15))</formula>
    </cfRule>
  </conditionalFormatting>
  <conditionalFormatting sqref="M40 B40">
    <cfRule type="expression" dxfId="13" priority="23" stopIfTrue="1">
      <formula>OR(AND(#REF!&gt;=0.07,#REF!&lt;=0.11),AND(#REF!&gt;=0.07,#REF!&lt;=0.11),AND($N$56&gt;=0.07,$N$56&lt;=0.11),AND($O$56&gt;=0.07,$O$56&lt;=0.11))</formula>
    </cfRule>
  </conditionalFormatting>
  <conditionalFormatting sqref="M41 B41">
    <cfRule type="expression" dxfId="12" priority="24" stopIfTrue="1">
      <formula>OR(AND(#REF!&gt;=0.04,#REF!&lt;=0.07),AND(#REF!&gt;=0.04,#REF!&lt;=0.07),AND($N$56&gt;=0.04,$N$56&lt;=0.07),AND($O$56&gt;=0.04,$O$56&lt;=0.07))</formula>
    </cfRule>
  </conditionalFormatting>
  <conditionalFormatting sqref="B42 M42">
    <cfRule type="expression" dxfId="11" priority="25" stopIfTrue="1">
      <formula>OR(AND(#REF!&gt;=0.02,#REF!&lt;=0.04),AND(#REF!&gt;=0.02,#REF!&lt;=0.04),AND($N$56&gt;=0.02,$N$56&lt;=0.04),AND($O$56&gt;=0.02,$O$56&lt;=0.04))</formula>
    </cfRule>
  </conditionalFormatting>
  <conditionalFormatting sqref="B43 M43">
    <cfRule type="expression" dxfId="10" priority="26" stopIfTrue="1">
      <formula>OR(AND(#REF!&gt;=0.004,#REF!&lt;=0.02),AND(#REF!&gt;=0.004,#REF!&lt;=0.02),AND($N$56&gt;=0.004,$N$56&lt;=0.02),AND($O$56&gt;=0.004,$O$56&lt;=0.02))</formula>
    </cfRule>
  </conditionalFormatting>
  <conditionalFormatting sqref="P57">
    <cfRule type="expression" dxfId="9" priority="11" stopIfTrue="1">
      <formula>OR(AND(#REF!&gt;=0.29,#REF!&lt;=0.37),AND(#REF!&gt;=0.29,#REF!&lt;=0.37),AND($N$54&gt;=0.29,$N$54&lt;=0.37),AND($O$54&gt;=0.29,$O$54&lt;=0.37))</formula>
    </cfRule>
  </conditionalFormatting>
  <conditionalFormatting sqref="P58:P69">
    <cfRule type="expression" dxfId="8" priority="12" stopIfTrue="1">
      <formula>OR(AND(#REF!&gt;=0.29,#REF!&lt;=0.37),AND(#REF!&gt;=0.29,#REF!&lt;=0.37),AND($N$54&gt;=0.29,$N$54&lt;=0.37),AND($O$54&gt;=0.29,$O$54&lt;=0.37))</formula>
    </cfRule>
  </conditionalFormatting>
  <conditionalFormatting sqref="P55">
    <cfRule type="expression" dxfId="7" priority="9" stopIfTrue="1">
      <formula>OR(AND(#REF!&gt;=0.29,#REF!&lt;=0.37),AND(#REF!&gt;=0.29,#REF!&lt;=0.37),AND($N$54&gt;=0.29,$N$54&lt;=0.37),AND($O$54&gt;=0.29,$O$54&lt;=0.37))</formula>
    </cfRule>
  </conditionalFormatting>
  <conditionalFormatting sqref="P56">
    <cfRule type="expression" dxfId="6" priority="10" stopIfTrue="1">
      <formula>OR(AND(#REF!&gt;=0.29,#REF!&lt;=0.37),AND(#REF!&gt;=0.29,#REF!&lt;=0.37),AND($N$54&gt;=0.29,$N$54&lt;=0.37),AND($O$54&gt;=0.29,$O$54&lt;=0.37))</formula>
    </cfRule>
  </conditionalFormatting>
  <conditionalFormatting sqref="O43:O44 O24:U41 R43:T44">
    <cfRule type="cellIs" dxfId="5" priority="7" operator="equal">
      <formula>"No Motion"</formula>
    </cfRule>
    <cfRule type="cellIs" dxfId="4" priority="8" operator="equal">
      <formula>"Motion"</formula>
    </cfRule>
  </conditionalFormatting>
  <conditionalFormatting sqref="O42:T42">
    <cfRule type="cellIs" dxfId="3" priority="3" operator="equal">
      <formula>"No Motion"</formula>
    </cfRule>
    <cfRule type="cellIs" dxfId="2" priority="4" operator="equal">
      <formula>"Motion"</formula>
    </cfRule>
  </conditionalFormatting>
  <conditionalFormatting sqref="P43">
    <cfRule type="cellIs" dxfId="1" priority="1" operator="equal">
      <formula>"No Motion"</formula>
    </cfRule>
    <cfRule type="cellIs" dxfId="0" priority="2" operator="equal">
      <formula>"Motion"</formula>
    </cfRule>
  </conditionalFormatting>
  <dataValidations count="10">
    <dataValidation type="decimal" operator="greaterThanOrEqual" allowBlank="1" showInputMessage="1" showErrorMessage="1" promptTitle="Instructions:" prompt="Enter the design value for D(100)." sqref="C9:F9 I9:L9 C16:F16 I16:L16" xr:uid="{00000000-0002-0000-0100-000000000000}">
      <formula1>0</formula1>
    </dataValidation>
    <dataValidation type="whole" allowBlank="1" showInputMessage="1" showErrorMessage="1" promptTitle="Instructions:" prompt="Enter a number between 65 and 95.   (95 max.)" sqref="D38" xr:uid="{00000000-0002-0000-0100-000001000000}">
      <formula1>65</formula1>
      <formula2>95</formula2>
    </dataValidation>
    <dataValidation type="whole" allowBlank="1" showInputMessage="1" showErrorMessage="1" promptTitle="Instructions:" prompt="Enter a number between 50 and 80.    (80 max.)" sqref="D40" xr:uid="{00000000-0002-0000-0100-000002000000}">
      <formula1>50</formula1>
      <formula2>80</formula2>
    </dataValidation>
    <dataValidation type="whole" allowBlank="1" showInputMessage="1" showErrorMessage="1" promptTitle="Instructions:" prompt="Enter a number between 26 and 44.     (44 max.)" sqref="D42 E39" xr:uid="{00000000-0002-0000-0100-000003000000}">
      <formula1>26</formula1>
      <formula2>44</formula2>
    </dataValidation>
    <dataValidation type="decimal" allowBlank="1" showInputMessage="1" showErrorMessage="1" promptTitle="Instructions:" prompt="Enter a number between 5 and 9._x000a_     (9 max.)" sqref="D44" xr:uid="{00000000-0002-0000-0100-000004000000}">
      <formula1>5</formula1>
      <formula2>9</formula2>
    </dataValidation>
    <dataValidation type="whole" allowBlank="1" showInputMessage="1" showErrorMessage="1" promptTitle="Instructions:" prompt="Enter a number between 5 and 16._x000a_     (16 max.)" sqref="D43" xr:uid="{00000000-0002-0000-0100-000005000000}">
      <formula1>5</formula1>
      <formula2>16</formula2>
    </dataValidation>
    <dataValidation type="whole" allowBlank="1" showInputMessage="1" showErrorMessage="1" promptTitle="Instructions:" prompt="Enter a number between 0 and 10._x000a_    (10 max.)" sqref="E41:L41" xr:uid="{00000000-0002-0000-0100-000006000000}">
      <formula1>1</formula1>
      <formula2>10</formula2>
    </dataValidation>
    <dataValidation type="whole" allowBlank="1" showInputMessage="1" showErrorMessage="1" promptTitle="Instructions:" prompt="Enter a number between 10 and 40._x000a_    (40 max.)" sqref="J34:L34" xr:uid="{00000000-0002-0000-0100-000007000000}">
      <formula1>10</formula1>
      <formula2>40</formula2>
    </dataValidation>
    <dataValidation type="whole" allowBlank="1" showInputMessage="1" showErrorMessage="1" promptTitle="Instructions:" prompt="Enter a number between 40 and 70._x000a_    (70 max.)" sqref="J32:L32" xr:uid="{00000000-0002-0000-0100-000008000000}">
      <formula1>40</formula1>
      <formula2>70</formula2>
    </dataValidation>
    <dataValidation type="whole" operator="greaterThanOrEqual" allowBlank="1" showInputMessage="1" showErrorMessage="1" promptTitle="Instructions:" prompt="Enter this column's percentage of the total desired mix. _x000a__x000a_(The total of all the percentages must equal 100% as shown in the far right column.))" sqref="D45:L48" xr:uid="{00000000-0002-0000-0100-000009000000}">
      <formula1>0</formula1>
    </dataValidation>
  </dataValidations>
  <printOptions horizontalCentered="1" verticalCentered="1" gridLines="1"/>
  <pageMargins left="0.5" right="0.5" top="1" bottom="0.5" header="0.5" footer="0.25"/>
  <pageSetup scale="72" fitToHeight="2" orientation="landscape" r:id="rId1"/>
  <headerFooter alignWithMargins="0">
    <oddFooter xml:space="preserve">&amp;R&amp;"Arial,Italic"&amp;8Otto Gershon, gershoo@wsdot.wa.gov ; 9/2007
modified by Kevin Lautz, P.E. 6/2010
</oddFooter>
  </headerFooter>
  <rowBreaks count="1" manualBreakCount="1">
    <brk id="48" max="18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7"/>
  <sheetViews>
    <sheetView workbookViewId="0">
      <selection activeCell="K27" sqref="K27"/>
    </sheetView>
  </sheetViews>
  <sheetFormatPr defaultRowHeight="12.75" x14ac:dyDescent="0.2"/>
  <sheetData>
    <row r="2" spans="2:2" x14ac:dyDescent="0.2">
      <c r="B2" t="s">
        <v>61</v>
      </c>
    </row>
    <row r="7" spans="2:2" x14ac:dyDescent="0.2">
      <c r="B7" s="62" t="s">
        <v>60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Rough Chan Incipient Motion</vt:lpstr>
      <vt:lpstr>Average</vt:lpstr>
      <vt:lpstr>USFS Reference </vt:lpstr>
      <vt:lpstr>Average!Print_Area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Sediment Sizing – Modified Shields </dc:title>
  <dc:subject>Sediment Sizing – Modified Shields </dc:subject>
  <dc:creator>WSDOT Hydraulics</dc:creator>
  <cp:keywords>Sediment Sizing – Modified Shields </cp:keywords>
  <cp:lastModifiedBy>Williams, Stephanie</cp:lastModifiedBy>
  <cp:lastPrinted>2015-10-21T17:46:28Z</cp:lastPrinted>
  <dcterms:created xsi:type="dcterms:W3CDTF">2006-03-31T20:37:00Z</dcterms:created>
  <dcterms:modified xsi:type="dcterms:W3CDTF">2023-06-07T20:40:26Z</dcterms:modified>
  <cp:category>Sediment Sizing – Modified Shields </cp:category>
</cp:coreProperties>
</file>